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lir\Downloads\"/>
    </mc:Choice>
  </mc:AlternateContent>
  <xr:revisionPtr revIDLastSave="0" documentId="13_ncr:1_{E739645B-6A8A-4211-AE9B-94FBA006F8C6}" xr6:coauthVersionLast="47" xr6:coauthVersionMax="47" xr10:uidLastSave="{00000000-0000-0000-0000-000000000000}"/>
  <bookViews>
    <workbookView xWindow="19080" yWindow="-120" windowWidth="25440" windowHeight="15990" xr2:uid="{B11ABE85-EF99-4265-87B0-6FF7FAA2F5AD}"/>
  </bookViews>
  <sheets>
    <sheet name="P24" sheetId="1" r:id="rId1"/>
    <sheet name="P25" sheetId="18" r:id="rId2"/>
    <sheet name="P26" sheetId="32" r:id="rId3"/>
    <sheet name="Z25" sheetId="19" r:id="rId4"/>
    <sheet name="Z26" sheetId="31" r:id="rId5"/>
    <sheet name="M24-26" sheetId="2" r:id="rId6"/>
    <sheet name="M24-26ev" sheetId="27" r:id="rId7"/>
    <sheet name="O24-26" sheetId="6" r:id="rId8"/>
    <sheet name="NP25" sheetId="28" r:id="rId9"/>
    <sheet name="NP26" sheetId="33" r:id="rId10"/>
    <sheet name="OH25" sheetId="24" r:id="rId11"/>
    <sheet name="OH26" sheetId="34" r:id="rId12"/>
    <sheet name="PT24-26" sheetId="29" r:id="rId13"/>
    <sheet name="OH25t" sheetId="25" r:id="rId14"/>
    <sheet name="OH26t" sheetId="35" r:id="rId15"/>
  </sheets>
  <definedNames>
    <definedName name="_xlnm.Print_Area" localSheetId="8">'NP25'!$B$1:$K$35</definedName>
    <definedName name="_xlnm.Print_Area" localSheetId="9">'NP26'!$B$1:$K$35</definedName>
    <definedName name="_xlnm.Print_Area" localSheetId="10">'OH25'!$B$1:$G$59</definedName>
    <definedName name="_xlnm.Print_Area" localSheetId="13">OH25t!$B$1:$K$65</definedName>
    <definedName name="_xlnm.Print_Area" localSheetId="11">'OH26'!$B$1:$G$59</definedName>
    <definedName name="_xlnm.Print_Area" localSheetId="14">OH26t!$B$1:$K$65</definedName>
    <definedName name="_xlnm.Print_Area" localSheetId="12">'PT24-26'!$B$1:$V$33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8" i="35" l="1"/>
  <c r="K48" i="35" s="1"/>
  <c r="J57" i="35" l="1"/>
  <c r="K57" i="35" s="1"/>
  <c r="J56" i="35"/>
  <c r="K56" i="35" s="1"/>
  <c r="J55" i="35"/>
  <c r="K55" i="35" s="1"/>
  <c r="J54" i="35"/>
  <c r="K54" i="35" s="1"/>
  <c r="J53" i="35"/>
  <c r="K53" i="35" s="1"/>
  <c r="J52" i="35"/>
  <c r="K52" i="35" s="1"/>
  <c r="J51" i="35"/>
  <c r="K51" i="35" s="1"/>
  <c r="J50" i="35"/>
  <c r="K50" i="35" s="1"/>
  <c r="I11" i="35"/>
  <c r="I9" i="35"/>
  <c r="R32" i="29"/>
  <c r="Q32" i="29"/>
  <c r="C26" i="34"/>
  <c r="J30" i="35" s="1"/>
  <c r="K30" i="35" s="1"/>
  <c r="C8" i="34"/>
  <c r="R15" i="34" s="1"/>
  <c r="B58" i="34"/>
  <c r="Q55" i="34"/>
  <c r="L55" i="34"/>
  <c r="Q54" i="34"/>
  <c r="L54" i="34"/>
  <c r="Q53" i="34"/>
  <c r="L53" i="34"/>
  <c r="Q52" i="34"/>
  <c r="L52" i="34"/>
  <c r="Q51" i="34"/>
  <c r="L51" i="34"/>
  <c r="Q50" i="34"/>
  <c r="L50" i="34"/>
  <c r="Q49" i="34"/>
  <c r="L49" i="34"/>
  <c r="Q48" i="34"/>
  <c r="L48" i="34"/>
  <c r="Q47" i="34"/>
  <c r="L47" i="34"/>
  <c r="Q46" i="34"/>
  <c r="L46" i="34"/>
  <c r="L45" i="34"/>
  <c r="Q44" i="34"/>
  <c r="L44" i="34"/>
  <c r="L43" i="34"/>
  <c r="Q42" i="34"/>
  <c r="L42" i="34"/>
  <c r="L41" i="34"/>
  <c r="P38" i="34"/>
  <c r="L38" i="34"/>
  <c r="P37" i="34"/>
  <c r="L37" i="34"/>
  <c r="P36" i="34"/>
  <c r="L36" i="34"/>
  <c r="P35" i="34"/>
  <c r="L35" i="34"/>
  <c r="P34" i="34"/>
  <c r="L34" i="34"/>
  <c r="P33" i="34"/>
  <c r="L33" i="34"/>
  <c r="P32" i="34"/>
  <c r="L32" i="34"/>
  <c r="P31" i="34"/>
  <c r="L31" i="34"/>
  <c r="P30" i="34"/>
  <c r="L30" i="34"/>
  <c r="P29" i="34"/>
  <c r="L29" i="34"/>
  <c r="P28" i="34"/>
  <c r="L28" i="34"/>
  <c r="L27" i="34"/>
  <c r="P26" i="34"/>
  <c r="L26" i="34"/>
  <c r="P25" i="34"/>
  <c r="L25" i="34"/>
  <c r="P24" i="34"/>
  <c r="L24" i="34"/>
  <c r="P23" i="34"/>
  <c r="L23" i="34"/>
  <c r="L22" i="34"/>
  <c r="Q15" i="34"/>
  <c r="Q14" i="34"/>
  <c r="L13" i="34"/>
  <c r="G2" i="34"/>
  <c r="C2" i="34"/>
  <c r="R1" i="34"/>
  <c r="Q1" i="34"/>
  <c r="G1" i="34"/>
  <c r="T27" i="29"/>
  <c r="S27" i="29"/>
  <c r="R27" i="29"/>
  <c r="Q27" i="29"/>
  <c r="Q31" i="29" s="1"/>
  <c r="J7" i="33"/>
  <c r="J7" i="28"/>
  <c r="I9" i="33"/>
  <c r="I7" i="33"/>
  <c r="C7" i="33"/>
  <c r="E6" i="33"/>
  <c r="C6" i="33"/>
  <c r="C5" i="33"/>
  <c r="E6" i="28"/>
  <c r="P63" i="6"/>
  <c r="Q63" i="6"/>
  <c r="R63" i="6"/>
  <c r="S63" i="6"/>
  <c r="T63" i="6"/>
  <c r="U63" i="6"/>
  <c r="P64" i="6"/>
  <c r="Q64" i="6"/>
  <c r="R64" i="6"/>
  <c r="S64" i="6"/>
  <c r="T64" i="6"/>
  <c r="U64" i="6"/>
  <c r="P57" i="6"/>
  <c r="Q57" i="6"/>
  <c r="R57" i="6"/>
  <c r="S57" i="6"/>
  <c r="T57" i="6"/>
  <c r="U57" i="6"/>
  <c r="P58" i="6"/>
  <c r="Q58" i="6"/>
  <c r="R58" i="6"/>
  <c r="S58" i="6"/>
  <c r="T58" i="6"/>
  <c r="U58" i="6"/>
  <c r="P59" i="6"/>
  <c r="Q59" i="6"/>
  <c r="R59" i="6"/>
  <c r="S59" i="6"/>
  <c r="T59" i="6"/>
  <c r="U59" i="6"/>
  <c r="U62" i="6"/>
  <c r="T62" i="6"/>
  <c r="S62" i="6"/>
  <c r="R62" i="6"/>
  <c r="Q62" i="6"/>
  <c r="P62" i="6"/>
  <c r="U56" i="6"/>
  <c r="T56" i="6"/>
  <c r="S56" i="6"/>
  <c r="R56" i="6"/>
  <c r="Q56" i="6"/>
  <c r="P56" i="6"/>
  <c r="P45" i="6"/>
  <c r="Q45" i="6"/>
  <c r="R45" i="6"/>
  <c r="S45" i="6"/>
  <c r="T45" i="6"/>
  <c r="U45" i="6"/>
  <c r="P46" i="6"/>
  <c r="Q46" i="6"/>
  <c r="R46" i="6"/>
  <c r="S46" i="6"/>
  <c r="T46" i="6"/>
  <c r="U46" i="6"/>
  <c r="P47" i="6"/>
  <c r="Q47" i="6"/>
  <c r="R47" i="6"/>
  <c r="S47" i="6"/>
  <c r="T47" i="6"/>
  <c r="U47" i="6"/>
  <c r="P48" i="6"/>
  <c r="Q48" i="6"/>
  <c r="R48" i="6"/>
  <c r="S48" i="6"/>
  <c r="T48" i="6"/>
  <c r="U48" i="6"/>
  <c r="P49" i="6"/>
  <c r="Q49" i="6"/>
  <c r="R49" i="6"/>
  <c r="S49" i="6"/>
  <c r="T49" i="6"/>
  <c r="U49" i="6"/>
  <c r="P50" i="6"/>
  <c r="Q50" i="6"/>
  <c r="R50" i="6"/>
  <c r="S50" i="6"/>
  <c r="T50" i="6"/>
  <c r="U50" i="6"/>
  <c r="P51" i="6"/>
  <c r="Q51" i="6"/>
  <c r="R51" i="6"/>
  <c r="S51" i="6"/>
  <c r="T51" i="6"/>
  <c r="U51" i="6"/>
  <c r="P52" i="6"/>
  <c r="Q52" i="6"/>
  <c r="R52" i="6"/>
  <c r="S52" i="6"/>
  <c r="T52" i="6"/>
  <c r="U52" i="6"/>
  <c r="P53" i="6"/>
  <c r="Q53" i="6"/>
  <c r="R53" i="6"/>
  <c r="S53" i="6"/>
  <c r="T53" i="6"/>
  <c r="U53" i="6"/>
  <c r="U44" i="6"/>
  <c r="T44" i="6"/>
  <c r="S44" i="6"/>
  <c r="R44" i="6"/>
  <c r="Q44" i="6"/>
  <c r="P44" i="6"/>
  <c r="P7" i="6"/>
  <c r="Q7" i="6"/>
  <c r="R7" i="6"/>
  <c r="S7" i="6"/>
  <c r="T7" i="6"/>
  <c r="U7" i="6"/>
  <c r="P8" i="6"/>
  <c r="Q8" i="6"/>
  <c r="R8" i="6"/>
  <c r="S8" i="6"/>
  <c r="T8" i="6"/>
  <c r="U8" i="6"/>
  <c r="P9" i="6"/>
  <c r="Q9" i="6"/>
  <c r="R9" i="6"/>
  <c r="S9" i="6"/>
  <c r="T9" i="6"/>
  <c r="U9" i="6"/>
  <c r="P10" i="6"/>
  <c r="Q10" i="6"/>
  <c r="R10" i="6"/>
  <c r="S10" i="6"/>
  <c r="T10" i="6"/>
  <c r="U10" i="6"/>
  <c r="P11" i="6"/>
  <c r="Q11" i="6"/>
  <c r="R11" i="6"/>
  <c r="S11" i="6"/>
  <c r="T11" i="6"/>
  <c r="U11" i="6"/>
  <c r="P12" i="6"/>
  <c r="Q12" i="6"/>
  <c r="R12" i="6"/>
  <c r="S12" i="6"/>
  <c r="T12" i="6"/>
  <c r="U12" i="6"/>
  <c r="P13" i="6"/>
  <c r="Q13" i="6"/>
  <c r="R13" i="6"/>
  <c r="S13" i="6"/>
  <c r="T13" i="6"/>
  <c r="U13" i="6"/>
  <c r="P14" i="6"/>
  <c r="Q14" i="6"/>
  <c r="R14" i="6"/>
  <c r="S14" i="6"/>
  <c r="T14" i="6"/>
  <c r="U14" i="6"/>
  <c r="P15" i="6"/>
  <c r="Q15" i="6"/>
  <c r="R15" i="6"/>
  <c r="S15" i="6"/>
  <c r="T15" i="6"/>
  <c r="U15" i="6"/>
  <c r="P16" i="6"/>
  <c r="Q16" i="6"/>
  <c r="R16" i="6"/>
  <c r="S16" i="6"/>
  <c r="T16" i="6"/>
  <c r="U16" i="6"/>
  <c r="P17" i="6"/>
  <c r="Q17" i="6"/>
  <c r="R17" i="6"/>
  <c r="S17" i="6"/>
  <c r="T17" i="6"/>
  <c r="U17" i="6"/>
  <c r="P18" i="6"/>
  <c r="Q18" i="6"/>
  <c r="R18" i="6"/>
  <c r="S18" i="6"/>
  <c r="T18" i="6"/>
  <c r="U18" i="6"/>
  <c r="P19" i="6"/>
  <c r="Q19" i="6"/>
  <c r="R19" i="6"/>
  <c r="S19" i="6"/>
  <c r="T19" i="6"/>
  <c r="U19" i="6"/>
  <c r="P20" i="6"/>
  <c r="Q20" i="6"/>
  <c r="R20" i="6"/>
  <c r="S20" i="6"/>
  <c r="T20" i="6"/>
  <c r="U20" i="6"/>
  <c r="P21" i="6"/>
  <c r="Q21" i="6"/>
  <c r="R21" i="6"/>
  <c r="S21" i="6"/>
  <c r="T21" i="6"/>
  <c r="U21" i="6"/>
  <c r="P22" i="6"/>
  <c r="Q22" i="6"/>
  <c r="R22" i="6"/>
  <c r="S22" i="6"/>
  <c r="T22" i="6"/>
  <c r="U22" i="6"/>
  <c r="P23" i="6"/>
  <c r="Q23" i="6"/>
  <c r="R23" i="6"/>
  <c r="S23" i="6"/>
  <c r="T23" i="6"/>
  <c r="U23" i="6"/>
  <c r="P24" i="6"/>
  <c r="Q24" i="6"/>
  <c r="R24" i="6"/>
  <c r="S24" i="6"/>
  <c r="T24" i="6"/>
  <c r="U24" i="6"/>
  <c r="P25" i="6"/>
  <c r="Q25" i="6"/>
  <c r="R25" i="6"/>
  <c r="S25" i="6"/>
  <c r="T25" i="6"/>
  <c r="U25" i="6"/>
  <c r="P26" i="6"/>
  <c r="Q26" i="6"/>
  <c r="R26" i="6"/>
  <c r="S26" i="6"/>
  <c r="T26" i="6"/>
  <c r="U26" i="6"/>
  <c r="P27" i="6"/>
  <c r="Q27" i="6"/>
  <c r="R27" i="6"/>
  <c r="S27" i="6"/>
  <c r="T27" i="6"/>
  <c r="U27" i="6"/>
  <c r="P28" i="6"/>
  <c r="Q28" i="6"/>
  <c r="R28" i="6"/>
  <c r="S28" i="6"/>
  <c r="T28" i="6"/>
  <c r="U28" i="6"/>
  <c r="P29" i="6"/>
  <c r="Q29" i="6"/>
  <c r="R29" i="6"/>
  <c r="S29" i="6"/>
  <c r="T29" i="6"/>
  <c r="U29" i="6"/>
  <c r="P30" i="6"/>
  <c r="Q30" i="6"/>
  <c r="R30" i="6"/>
  <c r="S30" i="6"/>
  <c r="T30" i="6"/>
  <c r="U30" i="6"/>
  <c r="P31" i="6"/>
  <c r="Q31" i="6"/>
  <c r="R31" i="6"/>
  <c r="S31" i="6"/>
  <c r="T31" i="6"/>
  <c r="U31" i="6"/>
  <c r="P32" i="6"/>
  <c r="Q32" i="6"/>
  <c r="R32" i="6"/>
  <c r="S32" i="6"/>
  <c r="T32" i="6"/>
  <c r="U32" i="6"/>
  <c r="P33" i="6"/>
  <c r="Q33" i="6"/>
  <c r="R33" i="6"/>
  <c r="S33" i="6"/>
  <c r="T33" i="6"/>
  <c r="U33" i="6"/>
  <c r="P34" i="6"/>
  <c r="Q34" i="6"/>
  <c r="R34" i="6"/>
  <c r="S34" i="6"/>
  <c r="T34" i="6"/>
  <c r="U34" i="6"/>
  <c r="P35" i="6"/>
  <c r="Q35" i="6"/>
  <c r="R35" i="6"/>
  <c r="S35" i="6"/>
  <c r="T35" i="6"/>
  <c r="U35" i="6"/>
  <c r="P36" i="6"/>
  <c r="Q36" i="6"/>
  <c r="R36" i="6"/>
  <c r="S36" i="6"/>
  <c r="T36" i="6"/>
  <c r="U36" i="6"/>
  <c r="P37" i="6"/>
  <c r="Q37" i="6"/>
  <c r="R37" i="6"/>
  <c r="S37" i="6"/>
  <c r="T37" i="6"/>
  <c r="U37" i="6"/>
  <c r="P38" i="6"/>
  <c r="Q38" i="6"/>
  <c r="R38" i="6"/>
  <c r="S38" i="6"/>
  <c r="T38" i="6"/>
  <c r="U38" i="6"/>
  <c r="P39" i="6"/>
  <c r="Q39" i="6"/>
  <c r="R39" i="6"/>
  <c r="S39" i="6"/>
  <c r="T39" i="6"/>
  <c r="U39" i="6"/>
  <c r="P40" i="6"/>
  <c r="Q40" i="6"/>
  <c r="R40" i="6"/>
  <c r="S40" i="6"/>
  <c r="T40" i="6"/>
  <c r="U40" i="6"/>
  <c r="P41" i="6"/>
  <c r="Q41" i="6"/>
  <c r="R41" i="6"/>
  <c r="S41" i="6"/>
  <c r="T41" i="6"/>
  <c r="U41" i="6"/>
  <c r="T6" i="6"/>
  <c r="U6" i="6"/>
  <c r="S6" i="6"/>
  <c r="Q6" i="6"/>
  <c r="R6" i="6"/>
  <c r="J68" i="2"/>
  <c r="K68" i="2"/>
  <c r="L68" i="2"/>
  <c r="M68" i="2"/>
  <c r="N68" i="2"/>
  <c r="O68" i="2"/>
  <c r="J69" i="2"/>
  <c r="K69" i="2"/>
  <c r="L69" i="2"/>
  <c r="M69" i="2"/>
  <c r="N69" i="2"/>
  <c r="O69" i="2"/>
  <c r="J70" i="2"/>
  <c r="K70" i="2"/>
  <c r="L70" i="2"/>
  <c r="M70" i="2"/>
  <c r="N70" i="2"/>
  <c r="O70" i="2"/>
  <c r="J71" i="2"/>
  <c r="K71" i="2"/>
  <c r="L71" i="2"/>
  <c r="M71" i="2"/>
  <c r="N71" i="2"/>
  <c r="O71" i="2"/>
  <c r="J72" i="2"/>
  <c r="K72" i="2"/>
  <c r="L72" i="2"/>
  <c r="M72" i="2"/>
  <c r="N72" i="2"/>
  <c r="O72" i="2"/>
  <c r="J73" i="2"/>
  <c r="K73" i="2"/>
  <c r="L73" i="2"/>
  <c r="M73" i="2"/>
  <c r="N73" i="2"/>
  <c r="O73" i="2"/>
  <c r="J52" i="2"/>
  <c r="K52" i="2"/>
  <c r="L52" i="2"/>
  <c r="M52" i="2"/>
  <c r="N52" i="2"/>
  <c r="O52" i="2"/>
  <c r="J53" i="2"/>
  <c r="K53" i="2"/>
  <c r="L53" i="2"/>
  <c r="M53" i="2"/>
  <c r="N53" i="2"/>
  <c r="O53" i="2"/>
  <c r="J54" i="2"/>
  <c r="K54" i="2"/>
  <c r="L54" i="2"/>
  <c r="M54" i="2"/>
  <c r="N54" i="2"/>
  <c r="O54" i="2"/>
  <c r="J55" i="2"/>
  <c r="K55" i="2"/>
  <c r="L55" i="2"/>
  <c r="M55" i="2"/>
  <c r="N55" i="2"/>
  <c r="O55" i="2"/>
  <c r="J56" i="2"/>
  <c r="K56" i="2"/>
  <c r="L56" i="2"/>
  <c r="M56" i="2"/>
  <c r="N56" i="2"/>
  <c r="O56" i="2"/>
  <c r="J57" i="2"/>
  <c r="K57" i="2"/>
  <c r="L57" i="2"/>
  <c r="M57" i="2"/>
  <c r="N57" i="2"/>
  <c r="O57" i="2"/>
  <c r="J58" i="2"/>
  <c r="K58" i="2"/>
  <c r="L58" i="2"/>
  <c r="M58" i="2"/>
  <c r="N58" i="2"/>
  <c r="O58" i="2"/>
  <c r="J59" i="2"/>
  <c r="K59" i="2"/>
  <c r="L59" i="2"/>
  <c r="M59" i="2"/>
  <c r="N59" i="2"/>
  <c r="O59" i="2"/>
  <c r="J60" i="2"/>
  <c r="K60" i="2"/>
  <c r="L60" i="2"/>
  <c r="M60" i="2"/>
  <c r="N60" i="2"/>
  <c r="O60" i="2"/>
  <c r="J61" i="2"/>
  <c r="K61" i="2"/>
  <c r="L61" i="2"/>
  <c r="M61" i="2"/>
  <c r="N61" i="2"/>
  <c r="O61" i="2"/>
  <c r="J62" i="2"/>
  <c r="K62" i="2"/>
  <c r="L62" i="2"/>
  <c r="M62" i="2"/>
  <c r="N62" i="2"/>
  <c r="O62" i="2"/>
  <c r="J63" i="2"/>
  <c r="K63" i="2"/>
  <c r="L63" i="2"/>
  <c r="M63" i="2"/>
  <c r="N63" i="2"/>
  <c r="O63" i="2"/>
  <c r="J64" i="2"/>
  <c r="K64" i="2"/>
  <c r="L64" i="2"/>
  <c r="M64" i="2"/>
  <c r="N64" i="2"/>
  <c r="O64" i="2"/>
  <c r="J65" i="2"/>
  <c r="K65" i="2"/>
  <c r="L65" i="2"/>
  <c r="M65" i="2"/>
  <c r="N65" i="2"/>
  <c r="O65" i="2"/>
  <c r="J48" i="2"/>
  <c r="K48" i="2"/>
  <c r="L48" i="2"/>
  <c r="M48" i="2"/>
  <c r="N48" i="2"/>
  <c r="O48" i="2"/>
  <c r="J49" i="2"/>
  <c r="K49" i="2"/>
  <c r="L49" i="2"/>
  <c r="M49" i="2"/>
  <c r="N49" i="2"/>
  <c r="O49" i="2"/>
  <c r="O47" i="2"/>
  <c r="N47" i="2"/>
  <c r="M47" i="2"/>
  <c r="L47" i="2"/>
  <c r="K47" i="2"/>
  <c r="J47" i="2"/>
  <c r="J42" i="2"/>
  <c r="K42" i="2"/>
  <c r="L42" i="2"/>
  <c r="M42" i="2"/>
  <c r="N42" i="2"/>
  <c r="O42" i="2"/>
  <c r="J43" i="2"/>
  <c r="K43" i="2"/>
  <c r="L43" i="2"/>
  <c r="M43" i="2"/>
  <c r="N43" i="2"/>
  <c r="O43" i="2"/>
  <c r="J44" i="2"/>
  <c r="K44" i="2"/>
  <c r="L44" i="2"/>
  <c r="M44" i="2"/>
  <c r="N44" i="2"/>
  <c r="O44" i="2"/>
  <c r="J45" i="2"/>
  <c r="K45" i="2"/>
  <c r="L45" i="2"/>
  <c r="M45" i="2"/>
  <c r="N45" i="2"/>
  <c r="O45" i="2"/>
  <c r="J38" i="2"/>
  <c r="K38" i="2"/>
  <c r="L38" i="2"/>
  <c r="M38" i="2"/>
  <c r="N38" i="2"/>
  <c r="O38" i="2"/>
  <c r="J39" i="2"/>
  <c r="K39" i="2"/>
  <c r="L39" i="2"/>
  <c r="M39" i="2"/>
  <c r="N39" i="2"/>
  <c r="O39" i="2"/>
  <c r="J33" i="2"/>
  <c r="K33" i="2"/>
  <c r="L33" i="2"/>
  <c r="M33" i="2"/>
  <c r="N33" i="2"/>
  <c r="O33" i="2"/>
  <c r="J34" i="2"/>
  <c r="K34" i="2"/>
  <c r="L34" i="2"/>
  <c r="M34" i="2"/>
  <c r="N34" i="2"/>
  <c r="O34" i="2"/>
  <c r="J35" i="2"/>
  <c r="K35" i="2"/>
  <c r="L35" i="2"/>
  <c r="M35" i="2"/>
  <c r="N35" i="2"/>
  <c r="O35" i="2"/>
  <c r="J24" i="2"/>
  <c r="K24" i="2"/>
  <c r="L24" i="2"/>
  <c r="M24" i="2"/>
  <c r="N24" i="2"/>
  <c r="O24" i="2"/>
  <c r="J25" i="2"/>
  <c r="K25" i="2"/>
  <c r="L25" i="2"/>
  <c r="M25" i="2"/>
  <c r="N25" i="2"/>
  <c r="O25" i="2"/>
  <c r="J26" i="2"/>
  <c r="K26" i="2"/>
  <c r="L26" i="2"/>
  <c r="M26" i="2"/>
  <c r="N26" i="2"/>
  <c r="O26" i="2"/>
  <c r="J27" i="2"/>
  <c r="K27" i="2"/>
  <c r="L27" i="2"/>
  <c r="M27" i="2"/>
  <c r="N27" i="2"/>
  <c r="O27" i="2"/>
  <c r="J28" i="2"/>
  <c r="K28" i="2"/>
  <c r="L28" i="2"/>
  <c r="M28" i="2"/>
  <c r="N28" i="2"/>
  <c r="O28" i="2"/>
  <c r="J29" i="2"/>
  <c r="K29" i="2"/>
  <c r="L29" i="2"/>
  <c r="M29" i="2"/>
  <c r="N29" i="2"/>
  <c r="O29" i="2"/>
  <c r="J30" i="2"/>
  <c r="K30" i="2"/>
  <c r="L30" i="2"/>
  <c r="M30" i="2"/>
  <c r="N30" i="2"/>
  <c r="O30" i="2"/>
  <c r="O67" i="2"/>
  <c r="N67" i="2"/>
  <c r="M67" i="2"/>
  <c r="L67" i="2"/>
  <c r="K67" i="2"/>
  <c r="J67" i="2"/>
  <c r="O51" i="2"/>
  <c r="N51" i="2"/>
  <c r="M51" i="2"/>
  <c r="L51" i="2"/>
  <c r="K51" i="2"/>
  <c r="J51" i="2"/>
  <c r="O41" i="2"/>
  <c r="N41" i="2"/>
  <c r="M41" i="2"/>
  <c r="L41" i="2"/>
  <c r="K41" i="2"/>
  <c r="J41" i="2"/>
  <c r="O37" i="2"/>
  <c r="N37" i="2"/>
  <c r="M37" i="2"/>
  <c r="L37" i="2"/>
  <c r="K37" i="2"/>
  <c r="J37" i="2"/>
  <c r="O32" i="2"/>
  <c r="N32" i="2"/>
  <c r="M32" i="2"/>
  <c r="L32" i="2"/>
  <c r="K32" i="2"/>
  <c r="J32" i="2"/>
  <c r="O23" i="2"/>
  <c r="N23" i="2"/>
  <c r="M23" i="2"/>
  <c r="L23" i="2"/>
  <c r="K23" i="2"/>
  <c r="J23" i="2"/>
  <c r="M7" i="2"/>
  <c r="N7" i="2"/>
  <c r="O7" i="2"/>
  <c r="M8" i="2"/>
  <c r="N8" i="2"/>
  <c r="O8" i="2"/>
  <c r="M9" i="2"/>
  <c r="N9" i="2"/>
  <c r="O9" i="2"/>
  <c r="M10" i="2"/>
  <c r="N10" i="2"/>
  <c r="O10" i="2"/>
  <c r="M11" i="2"/>
  <c r="N11" i="2"/>
  <c r="O11" i="2"/>
  <c r="M12" i="2"/>
  <c r="N12" i="2"/>
  <c r="O12" i="2"/>
  <c r="M13" i="2"/>
  <c r="N13" i="2"/>
  <c r="O13" i="2"/>
  <c r="M14" i="2"/>
  <c r="N14" i="2"/>
  <c r="O14" i="2"/>
  <c r="M15" i="2"/>
  <c r="N15" i="2"/>
  <c r="O15" i="2"/>
  <c r="M16" i="2"/>
  <c r="N16" i="2"/>
  <c r="O16" i="2"/>
  <c r="M17" i="2"/>
  <c r="N17" i="2"/>
  <c r="O17" i="2"/>
  <c r="M18" i="2"/>
  <c r="N18" i="2"/>
  <c r="O18" i="2"/>
  <c r="M19" i="2"/>
  <c r="N19" i="2"/>
  <c r="O19" i="2"/>
  <c r="M20" i="2"/>
  <c r="N20" i="2"/>
  <c r="O20" i="2"/>
  <c r="M21" i="2"/>
  <c r="N21" i="2"/>
  <c r="O21" i="2"/>
  <c r="N6" i="2"/>
  <c r="O6" i="2"/>
  <c r="M6" i="2"/>
  <c r="D79" i="31"/>
  <c r="D78" i="31"/>
  <c r="D64" i="31"/>
  <c r="T64" i="31" s="1"/>
  <c r="J64" i="31" s="1"/>
  <c r="D65" i="31"/>
  <c r="T65" i="31" s="1"/>
  <c r="J65" i="31" s="1"/>
  <c r="D66" i="31"/>
  <c r="D67" i="31"/>
  <c r="D68" i="31"/>
  <c r="T68" i="31" s="1"/>
  <c r="J68" i="31" s="1"/>
  <c r="D69" i="31"/>
  <c r="T69" i="31" s="1"/>
  <c r="J69" i="31" s="1"/>
  <c r="D70" i="31"/>
  <c r="T70" i="31" s="1"/>
  <c r="J70" i="31" s="1"/>
  <c r="D71" i="31"/>
  <c r="D72" i="31"/>
  <c r="T72" i="31" s="1"/>
  <c r="J72" i="31" s="1"/>
  <c r="D73" i="31"/>
  <c r="T73" i="31" s="1"/>
  <c r="J73" i="31" s="1"/>
  <c r="D74" i="31"/>
  <c r="T74" i="31" s="1"/>
  <c r="J74" i="31" s="1"/>
  <c r="D75" i="31"/>
  <c r="D76" i="31"/>
  <c r="T76" i="31" s="1"/>
  <c r="J76" i="31" s="1"/>
  <c r="D77" i="31"/>
  <c r="T77" i="31" s="1"/>
  <c r="J77" i="31" s="1"/>
  <c r="D63" i="31"/>
  <c r="D11" i="31"/>
  <c r="D12" i="31"/>
  <c r="D13" i="31"/>
  <c r="T13" i="31" s="1"/>
  <c r="J13" i="31" s="1"/>
  <c r="D14" i="31"/>
  <c r="T14" i="31" s="1"/>
  <c r="J14" i="31" s="1"/>
  <c r="D15" i="31"/>
  <c r="D16" i="31"/>
  <c r="D17" i="31"/>
  <c r="T17" i="31" s="1"/>
  <c r="J17" i="31" s="1"/>
  <c r="D18" i="31"/>
  <c r="T18" i="31" s="1"/>
  <c r="J18" i="31" s="1"/>
  <c r="D19" i="31"/>
  <c r="D20" i="31"/>
  <c r="D21" i="31"/>
  <c r="T21" i="31" s="1"/>
  <c r="J21" i="31" s="1"/>
  <c r="D22" i="31"/>
  <c r="T22" i="31" s="1"/>
  <c r="J22" i="31" s="1"/>
  <c r="D23" i="31"/>
  <c r="D24" i="31"/>
  <c r="D25" i="31"/>
  <c r="T25" i="31" s="1"/>
  <c r="J25" i="31" s="1"/>
  <c r="D26" i="31"/>
  <c r="T26" i="31" s="1"/>
  <c r="J26" i="31" s="1"/>
  <c r="D27" i="31"/>
  <c r="D28" i="31"/>
  <c r="T28" i="31" s="1"/>
  <c r="J28" i="31" s="1"/>
  <c r="D29" i="31"/>
  <c r="T29" i="31" s="1"/>
  <c r="J29" i="31" s="1"/>
  <c r="D30" i="31"/>
  <c r="T30" i="31" s="1"/>
  <c r="J30" i="31" s="1"/>
  <c r="D31" i="31"/>
  <c r="D32" i="31"/>
  <c r="T32" i="31" s="1"/>
  <c r="J32" i="31" s="1"/>
  <c r="D33" i="31"/>
  <c r="T33" i="31" s="1"/>
  <c r="J33" i="31" s="1"/>
  <c r="D34" i="31"/>
  <c r="D35" i="31"/>
  <c r="D36" i="31"/>
  <c r="D37" i="31"/>
  <c r="T37" i="31" s="1"/>
  <c r="J37" i="31" s="1"/>
  <c r="D38" i="31"/>
  <c r="D39" i="31"/>
  <c r="D40" i="31"/>
  <c r="T40" i="31" s="1"/>
  <c r="J40" i="31" s="1"/>
  <c r="D41" i="31"/>
  <c r="T41" i="31" s="1"/>
  <c r="J41" i="31" s="1"/>
  <c r="D42" i="31"/>
  <c r="T42" i="31" s="1"/>
  <c r="J42" i="31" s="1"/>
  <c r="D43" i="31"/>
  <c r="D44" i="31"/>
  <c r="T44" i="31" s="1"/>
  <c r="J44" i="31" s="1"/>
  <c r="D45" i="31"/>
  <c r="T45" i="31" s="1"/>
  <c r="J45" i="31" s="1"/>
  <c r="D46" i="31"/>
  <c r="D47" i="31"/>
  <c r="D48" i="31"/>
  <c r="T48" i="31" s="1"/>
  <c r="J48" i="31" s="1"/>
  <c r="D49" i="31"/>
  <c r="T49" i="31" s="1"/>
  <c r="J49" i="31" s="1"/>
  <c r="D50" i="31"/>
  <c r="D51" i="31"/>
  <c r="D52" i="31"/>
  <c r="T52" i="31" s="1"/>
  <c r="J52" i="31" s="1"/>
  <c r="D53" i="31"/>
  <c r="T53" i="31" s="1"/>
  <c r="J53" i="31" s="1"/>
  <c r="D54" i="31"/>
  <c r="T54" i="31" s="1"/>
  <c r="J54" i="31" s="1"/>
  <c r="D55" i="31"/>
  <c r="D56" i="31"/>
  <c r="T56" i="31" s="1"/>
  <c r="J56" i="31" s="1"/>
  <c r="D57" i="31"/>
  <c r="D58" i="31"/>
  <c r="D59" i="31"/>
  <c r="D60" i="31"/>
  <c r="T60" i="31" s="1"/>
  <c r="J60" i="31" s="1"/>
  <c r="D61" i="31"/>
  <c r="T61" i="31" s="1"/>
  <c r="J61" i="31" s="1"/>
  <c r="D62" i="31"/>
  <c r="T62" i="31" s="1"/>
  <c r="J62" i="31" s="1"/>
  <c r="D10" i="31"/>
  <c r="T10" i="31" s="1"/>
  <c r="J10" i="31" s="1"/>
  <c r="P41" i="1"/>
  <c r="G2" i="24"/>
  <c r="K3" i="35" s="1"/>
  <c r="G1" i="24"/>
  <c r="D4" i="31"/>
  <c r="D91" i="32"/>
  <c r="C19" i="34" s="1"/>
  <c r="D90" i="32"/>
  <c r="C18" i="34" s="1"/>
  <c r="D89" i="32"/>
  <c r="C17" i="34" s="1"/>
  <c r="D88" i="32"/>
  <c r="C16" i="34" s="1"/>
  <c r="B83" i="32"/>
  <c r="H80" i="32"/>
  <c r="D80" i="32"/>
  <c r="D81" i="32" s="1"/>
  <c r="AC79" i="32"/>
  <c r="AB79" i="32"/>
  <c r="AA79" i="32"/>
  <c r="AS78" i="32"/>
  <c r="Z78" i="32"/>
  <c r="Y78" i="32"/>
  <c r="X78" i="32"/>
  <c r="F78" i="32"/>
  <c r="U78" i="32" s="1"/>
  <c r="AA78" i="32" s="1"/>
  <c r="Q78" i="32" s="1"/>
  <c r="AS77" i="32"/>
  <c r="Z77" i="32"/>
  <c r="Y77" i="32"/>
  <c r="X77" i="32"/>
  <c r="F77" i="32"/>
  <c r="W77" i="32" s="1"/>
  <c r="AS76" i="32"/>
  <c r="AQ76" i="32"/>
  <c r="Z76" i="32"/>
  <c r="Y76" i="32"/>
  <c r="X76" i="32"/>
  <c r="F76" i="32"/>
  <c r="AS75" i="32"/>
  <c r="AQ75" i="32"/>
  <c r="Z75" i="32"/>
  <c r="Y75" i="32"/>
  <c r="X75" i="32"/>
  <c r="F75" i="32"/>
  <c r="U75" i="32" s="1"/>
  <c r="AA75" i="32" s="1"/>
  <c r="Q75" i="32" s="1"/>
  <c r="AS74" i="32"/>
  <c r="AQ74" i="32"/>
  <c r="Z74" i="32"/>
  <c r="Y74" i="32"/>
  <c r="X74" i="32"/>
  <c r="F74" i="32"/>
  <c r="V74" i="32" s="1"/>
  <c r="AB74" i="32" s="1"/>
  <c r="R74" i="32" s="1"/>
  <c r="AS73" i="32"/>
  <c r="Z73" i="32"/>
  <c r="Y73" i="32"/>
  <c r="X73" i="32"/>
  <c r="F73" i="32"/>
  <c r="V73" i="32" s="1"/>
  <c r="AB73" i="32" s="1"/>
  <c r="R73" i="32" s="1"/>
  <c r="AS72" i="32"/>
  <c r="Z72" i="32"/>
  <c r="Y72" i="32"/>
  <c r="X72" i="32"/>
  <c r="F72" i="32"/>
  <c r="V72" i="32" s="1"/>
  <c r="AB72" i="32" s="1"/>
  <c r="R72" i="32" s="1"/>
  <c r="AS71" i="32"/>
  <c r="Z71" i="32"/>
  <c r="Y71" i="32"/>
  <c r="X71" i="32"/>
  <c r="F71" i="32"/>
  <c r="V71" i="32" s="1"/>
  <c r="AB71" i="32" s="1"/>
  <c r="R71" i="32" s="1"/>
  <c r="AS70" i="32"/>
  <c r="Z70" i="32"/>
  <c r="Y70" i="32"/>
  <c r="X70" i="32"/>
  <c r="F70" i="32"/>
  <c r="V70" i="32" s="1"/>
  <c r="AB70" i="32" s="1"/>
  <c r="R70" i="32" s="1"/>
  <c r="AS69" i="32"/>
  <c r="Z69" i="32"/>
  <c r="Y69" i="32"/>
  <c r="X69" i="32"/>
  <c r="F69" i="32"/>
  <c r="V69" i="32" s="1"/>
  <c r="AB69" i="32" s="1"/>
  <c r="R69" i="32" s="1"/>
  <c r="AS68" i="32"/>
  <c r="Z68" i="32"/>
  <c r="Y68" i="32"/>
  <c r="X68" i="32"/>
  <c r="F68" i="32"/>
  <c r="V68" i="32" s="1"/>
  <c r="AB68" i="32" s="1"/>
  <c r="R68" i="32" s="1"/>
  <c r="AS67" i="32"/>
  <c r="Z67" i="32"/>
  <c r="Y67" i="32"/>
  <c r="X67" i="32"/>
  <c r="F67" i="32"/>
  <c r="V67" i="32" s="1"/>
  <c r="AB67" i="32" s="1"/>
  <c r="R67" i="32" s="1"/>
  <c r="AS66" i="32"/>
  <c r="Z66" i="32"/>
  <c r="Y66" i="32"/>
  <c r="X66" i="32"/>
  <c r="F66" i="32"/>
  <c r="V66" i="32" s="1"/>
  <c r="AB66" i="32" s="1"/>
  <c r="R66" i="32" s="1"/>
  <c r="AS65" i="32"/>
  <c r="Z65" i="32"/>
  <c r="Y65" i="32"/>
  <c r="X65" i="32"/>
  <c r="F65" i="32"/>
  <c r="V65" i="32" s="1"/>
  <c r="AB65" i="32" s="1"/>
  <c r="R65" i="32" s="1"/>
  <c r="AS64" i="32"/>
  <c r="Z64" i="32"/>
  <c r="Y64" i="32"/>
  <c r="X64" i="32"/>
  <c r="F64" i="32"/>
  <c r="V64" i="32" s="1"/>
  <c r="AB64" i="32" s="1"/>
  <c r="R64" i="32" s="1"/>
  <c r="AS63" i="32"/>
  <c r="Z63" i="32"/>
  <c r="Y63" i="32"/>
  <c r="X63" i="32"/>
  <c r="F63" i="32"/>
  <c r="V63" i="32" s="1"/>
  <c r="AB63" i="32" s="1"/>
  <c r="R63" i="32" s="1"/>
  <c r="AS62" i="32"/>
  <c r="O62" i="32"/>
  <c r="P62" i="32" s="1"/>
  <c r="N62" i="32"/>
  <c r="F62" i="32"/>
  <c r="U62" i="32" s="1"/>
  <c r="AS61" i="32"/>
  <c r="Z61" i="32"/>
  <c r="Y61" i="32"/>
  <c r="X61" i="32"/>
  <c r="F61" i="32"/>
  <c r="V61" i="32" s="1"/>
  <c r="AS60" i="32"/>
  <c r="AQ60" i="32"/>
  <c r="Z60" i="32"/>
  <c r="Y60" i="32"/>
  <c r="X60" i="32"/>
  <c r="F60" i="32"/>
  <c r="U60" i="32" s="1"/>
  <c r="AA60" i="32" s="1"/>
  <c r="Q60" i="32" s="1"/>
  <c r="AS59" i="32"/>
  <c r="AQ59" i="32"/>
  <c r="Z59" i="32"/>
  <c r="Y59" i="32"/>
  <c r="X59" i="32"/>
  <c r="F59" i="32"/>
  <c r="W59" i="32" s="1"/>
  <c r="AC59" i="32" s="1"/>
  <c r="S59" i="32" s="1"/>
  <c r="AS58" i="32"/>
  <c r="AQ58" i="32"/>
  <c r="Z58" i="32"/>
  <c r="Y58" i="32"/>
  <c r="X58" i="32"/>
  <c r="F58" i="32"/>
  <c r="W58" i="32" s="1"/>
  <c r="AS57" i="32"/>
  <c r="O57" i="32"/>
  <c r="N57" i="32"/>
  <c r="F57" i="32"/>
  <c r="U57" i="32" s="1"/>
  <c r="AS56" i="32"/>
  <c r="AQ56" i="32"/>
  <c r="Z56" i="32"/>
  <c r="Y56" i="32"/>
  <c r="X56" i="32"/>
  <c r="F56" i="32"/>
  <c r="AS55" i="32"/>
  <c r="AQ55" i="32"/>
  <c r="Z55" i="32"/>
  <c r="Y55" i="32"/>
  <c r="X55" i="32"/>
  <c r="F55" i="32"/>
  <c r="W55" i="32" s="1"/>
  <c r="AS54" i="32"/>
  <c r="AQ54" i="32"/>
  <c r="Z54" i="32"/>
  <c r="Y54" i="32"/>
  <c r="X54" i="32"/>
  <c r="F54" i="32"/>
  <c r="V54" i="32" s="1"/>
  <c r="AS53" i="32"/>
  <c r="Z53" i="32"/>
  <c r="Y53" i="32"/>
  <c r="X53" i="32"/>
  <c r="F53" i="32"/>
  <c r="V53" i="32" s="1"/>
  <c r="AS52" i="32"/>
  <c r="Z52" i="32"/>
  <c r="Y52" i="32"/>
  <c r="X52" i="32"/>
  <c r="F52" i="32"/>
  <c r="V52" i="32" s="1"/>
  <c r="AS51" i="32"/>
  <c r="Z51" i="32"/>
  <c r="Y51" i="32"/>
  <c r="X51" i="32"/>
  <c r="F51" i="32"/>
  <c r="V51" i="32" s="1"/>
  <c r="AS50" i="32"/>
  <c r="Z50" i="32"/>
  <c r="Y50" i="32"/>
  <c r="X50" i="32"/>
  <c r="F50" i="32"/>
  <c r="V50" i="32" s="1"/>
  <c r="AS49" i="32"/>
  <c r="Z49" i="32"/>
  <c r="Y49" i="32"/>
  <c r="X49" i="32"/>
  <c r="F49" i="32"/>
  <c r="V49" i="32" s="1"/>
  <c r="AS48" i="32"/>
  <c r="AQ48" i="32"/>
  <c r="Z48" i="32"/>
  <c r="Y48" i="32"/>
  <c r="X48" i="32"/>
  <c r="F48" i="32"/>
  <c r="W48" i="32" s="1"/>
  <c r="AS47" i="32"/>
  <c r="AQ47" i="32"/>
  <c r="Z47" i="32"/>
  <c r="Y47" i="32"/>
  <c r="X47" i="32"/>
  <c r="F47" i="32"/>
  <c r="V47" i="32" s="1"/>
  <c r="AS46" i="32"/>
  <c r="AQ46" i="32"/>
  <c r="Z46" i="32"/>
  <c r="Y46" i="32"/>
  <c r="X46" i="32"/>
  <c r="F46" i="32"/>
  <c r="U46" i="32" s="1"/>
  <c r="AS45" i="32"/>
  <c r="AQ45" i="32"/>
  <c r="Z45" i="32"/>
  <c r="Y45" i="32"/>
  <c r="X45" i="32"/>
  <c r="F45" i="32"/>
  <c r="V45" i="32" s="1"/>
  <c r="AS44" i="32"/>
  <c r="Z44" i="32"/>
  <c r="Y44" i="32"/>
  <c r="X44" i="32"/>
  <c r="F44" i="32"/>
  <c r="V44" i="32" s="1"/>
  <c r="AS43" i="32"/>
  <c r="Z43" i="32"/>
  <c r="Y43" i="32"/>
  <c r="X43" i="32"/>
  <c r="F43" i="32"/>
  <c r="V43" i="32" s="1"/>
  <c r="AS42" i="32"/>
  <c r="Z42" i="32"/>
  <c r="Y42" i="32"/>
  <c r="X42" i="32"/>
  <c r="F42" i="32"/>
  <c r="AS41" i="32"/>
  <c r="Z41" i="32"/>
  <c r="Y41" i="32"/>
  <c r="X41" i="32"/>
  <c r="F41" i="32"/>
  <c r="V41" i="32" s="1"/>
  <c r="AB41" i="32" s="1"/>
  <c r="R41" i="32" s="1"/>
  <c r="AS40" i="32"/>
  <c r="O40" i="32"/>
  <c r="F40" i="32"/>
  <c r="U40" i="32" s="1"/>
  <c r="AS39" i="32"/>
  <c r="O39" i="32"/>
  <c r="F39" i="32"/>
  <c r="U39" i="32" s="1"/>
  <c r="AS38" i="32"/>
  <c r="O38" i="32"/>
  <c r="F38" i="32"/>
  <c r="U38" i="32" s="1"/>
  <c r="AS37" i="32"/>
  <c r="O37" i="32"/>
  <c r="F37" i="32"/>
  <c r="W37" i="32" s="1"/>
  <c r="AS36" i="32"/>
  <c r="O36" i="32"/>
  <c r="F36" i="32"/>
  <c r="U36" i="32" s="1"/>
  <c r="AS35" i="32"/>
  <c r="O35" i="32"/>
  <c r="F35" i="32"/>
  <c r="U35" i="32" s="1"/>
  <c r="AS34" i="32"/>
  <c r="AQ34" i="32"/>
  <c r="O34" i="32"/>
  <c r="F34" i="32"/>
  <c r="N34" i="32" s="1"/>
  <c r="AS33" i="32"/>
  <c r="O33" i="32"/>
  <c r="F33" i="32"/>
  <c r="U33" i="32" s="1"/>
  <c r="AS32" i="32"/>
  <c r="O32" i="32"/>
  <c r="F32" i="32"/>
  <c r="W32" i="32" s="1"/>
  <c r="AS31" i="32"/>
  <c r="O31" i="32"/>
  <c r="F31" i="32"/>
  <c r="V31" i="32" s="1"/>
  <c r="AS30" i="32"/>
  <c r="O30" i="32"/>
  <c r="F30" i="32"/>
  <c r="N30" i="32" s="1"/>
  <c r="AS29" i="32"/>
  <c r="O29" i="32"/>
  <c r="F29" i="32"/>
  <c r="U29" i="32" s="1"/>
  <c r="AS28" i="32"/>
  <c r="Z28" i="32"/>
  <c r="Y28" i="32"/>
  <c r="X28" i="32"/>
  <c r="P28" i="32"/>
  <c r="F28" i="32"/>
  <c r="U28" i="32" s="1"/>
  <c r="AA28" i="32" s="1"/>
  <c r="Q28" i="32" s="1"/>
  <c r="AS27" i="32"/>
  <c r="Z27" i="32"/>
  <c r="Y27" i="32"/>
  <c r="X27" i="32"/>
  <c r="P27" i="32"/>
  <c r="F27" i="32"/>
  <c r="W27" i="32" s="1"/>
  <c r="AC27" i="32" s="1"/>
  <c r="S27" i="32" s="1"/>
  <c r="AS26" i="32"/>
  <c r="AQ26" i="32"/>
  <c r="O26" i="32"/>
  <c r="N26" i="32"/>
  <c r="F26" i="32"/>
  <c r="V26" i="32" s="1"/>
  <c r="AS25" i="32"/>
  <c r="AQ25" i="32"/>
  <c r="O25" i="32"/>
  <c r="F25" i="32"/>
  <c r="U25" i="32" s="1"/>
  <c r="AS24" i="32"/>
  <c r="AQ24" i="32"/>
  <c r="O24" i="32"/>
  <c r="F24" i="32"/>
  <c r="W24" i="32" s="1"/>
  <c r="AS23" i="32"/>
  <c r="AQ23" i="32"/>
  <c r="O23" i="32"/>
  <c r="F23" i="32"/>
  <c r="U23" i="32" s="1"/>
  <c r="AS22" i="32"/>
  <c r="O22" i="32"/>
  <c r="F22" i="32"/>
  <c r="U22" i="32" s="1"/>
  <c r="AS21" i="32"/>
  <c r="O21" i="32"/>
  <c r="P21" i="32" s="1"/>
  <c r="F21" i="32"/>
  <c r="N21" i="32" s="1"/>
  <c r="AS20" i="32"/>
  <c r="O20" i="32"/>
  <c r="F20" i="32"/>
  <c r="W20" i="32" s="1"/>
  <c r="AS19" i="32"/>
  <c r="O19" i="32"/>
  <c r="F19" i="32"/>
  <c r="W19" i="32" s="1"/>
  <c r="AS18" i="32"/>
  <c r="O18" i="32"/>
  <c r="K18" i="32"/>
  <c r="F18" i="32"/>
  <c r="V18" i="32" s="1"/>
  <c r="AS17" i="32"/>
  <c r="O17" i="32"/>
  <c r="K17" i="32"/>
  <c r="F17" i="32"/>
  <c r="N17" i="32" s="1"/>
  <c r="AS16" i="32"/>
  <c r="O16" i="32"/>
  <c r="F16" i="32"/>
  <c r="U16" i="32" s="1"/>
  <c r="AS15" i="32"/>
  <c r="O15" i="32"/>
  <c r="K15" i="32"/>
  <c r="F15" i="32"/>
  <c r="V15" i="32" s="1"/>
  <c r="AS14" i="32"/>
  <c r="O14" i="32"/>
  <c r="K14" i="32"/>
  <c r="F14" i="32"/>
  <c r="W14" i="32" s="1"/>
  <c r="AS13" i="32"/>
  <c r="O13" i="32"/>
  <c r="K13" i="32"/>
  <c r="F13" i="32"/>
  <c r="N13" i="32" s="1"/>
  <c r="AS12" i="32"/>
  <c r="O12" i="32"/>
  <c r="N12" i="32"/>
  <c r="K12" i="32"/>
  <c r="F12" i="32"/>
  <c r="W12" i="32" s="1"/>
  <c r="AS11" i="32"/>
  <c r="O11" i="32"/>
  <c r="K11" i="32"/>
  <c r="F11" i="32"/>
  <c r="V11" i="32" s="1"/>
  <c r="AS10" i="32"/>
  <c r="O10" i="32"/>
  <c r="F10" i="32"/>
  <c r="N10" i="32" s="1"/>
  <c r="E4" i="32"/>
  <c r="G3" i="32"/>
  <c r="G2" i="32"/>
  <c r="E2" i="32"/>
  <c r="D14" i="19"/>
  <c r="E4" i="18"/>
  <c r="B84" i="31"/>
  <c r="F80" i="31"/>
  <c r="U78" i="31"/>
  <c r="K78" i="31" s="1"/>
  <c r="R78" i="31"/>
  <c r="Q78" i="31"/>
  <c r="P78" i="31"/>
  <c r="O78" i="31"/>
  <c r="N78" i="31"/>
  <c r="I78" i="31"/>
  <c r="H78" i="31"/>
  <c r="T78" i="31"/>
  <c r="J78" i="31" s="1"/>
  <c r="U77" i="31"/>
  <c r="K77" i="31" s="1"/>
  <c r="R77" i="31"/>
  <c r="Q77" i="31"/>
  <c r="P77" i="31"/>
  <c r="O77" i="31"/>
  <c r="N77" i="31"/>
  <c r="I77" i="31"/>
  <c r="H77" i="31"/>
  <c r="U76" i="31"/>
  <c r="K76" i="31" s="1"/>
  <c r="R76" i="31"/>
  <c r="Q76" i="31"/>
  <c r="P76" i="31"/>
  <c r="O76" i="31"/>
  <c r="N76" i="31"/>
  <c r="I76" i="31"/>
  <c r="H76" i="31"/>
  <c r="U75" i="31"/>
  <c r="K75" i="31" s="1"/>
  <c r="R75" i="31"/>
  <c r="Q75" i="31"/>
  <c r="P75" i="31"/>
  <c r="O75" i="31"/>
  <c r="N75" i="31"/>
  <c r="I75" i="31"/>
  <c r="H75" i="31"/>
  <c r="T75" i="31"/>
  <c r="J75" i="31" s="1"/>
  <c r="U74" i="31"/>
  <c r="K74" i="31" s="1"/>
  <c r="R74" i="31"/>
  <c r="Q74" i="31"/>
  <c r="P74" i="31"/>
  <c r="O74" i="31"/>
  <c r="N74" i="31"/>
  <c r="I74" i="31"/>
  <c r="H74" i="31"/>
  <c r="U73" i="31"/>
  <c r="K73" i="31" s="1"/>
  <c r="R73" i="31"/>
  <c r="Q73" i="31"/>
  <c r="P73" i="31"/>
  <c r="O73" i="31"/>
  <c r="N73" i="31"/>
  <c r="I73" i="31"/>
  <c r="H73" i="31"/>
  <c r="U72" i="31"/>
  <c r="K72" i="31" s="1"/>
  <c r="R72" i="31"/>
  <c r="Q72" i="31"/>
  <c r="P72" i="31"/>
  <c r="O72" i="31"/>
  <c r="N72" i="31"/>
  <c r="I72" i="31"/>
  <c r="H72" i="31"/>
  <c r="U71" i="31"/>
  <c r="K71" i="31" s="1"/>
  <c r="R71" i="31"/>
  <c r="Q71" i="31"/>
  <c r="P71" i="31"/>
  <c r="O71" i="31"/>
  <c r="N71" i="31"/>
  <c r="I71" i="31"/>
  <c r="H71" i="31"/>
  <c r="T71" i="31"/>
  <c r="J71" i="31" s="1"/>
  <c r="U70" i="31"/>
  <c r="K70" i="31" s="1"/>
  <c r="R70" i="31"/>
  <c r="Q70" i="31"/>
  <c r="P70" i="31"/>
  <c r="O70" i="31"/>
  <c r="N70" i="31"/>
  <c r="I70" i="31"/>
  <c r="H70" i="31"/>
  <c r="U69" i="31"/>
  <c r="K69" i="31" s="1"/>
  <c r="R69" i="31"/>
  <c r="Q69" i="31"/>
  <c r="P69" i="31"/>
  <c r="O69" i="31"/>
  <c r="N69" i="31"/>
  <c r="I69" i="31"/>
  <c r="H69" i="31"/>
  <c r="U68" i="31"/>
  <c r="K68" i="31" s="1"/>
  <c r="R68" i="31"/>
  <c r="Q68" i="31"/>
  <c r="P68" i="31"/>
  <c r="O68" i="31"/>
  <c r="N68" i="31"/>
  <c r="I68" i="31"/>
  <c r="H68" i="31"/>
  <c r="U67" i="31"/>
  <c r="K67" i="31" s="1"/>
  <c r="R67" i="31"/>
  <c r="Q67" i="31"/>
  <c r="P67" i="31"/>
  <c r="O67" i="31"/>
  <c r="N67" i="31"/>
  <c r="I67" i="31"/>
  <c r="H67" i="31"/>
  <c r="T67" i="31"/>
  <c r="J67" i="31" s="1"/>
  <c r="U66" i="31"/>
  <c r="K66" i="31" s="1"/>
  <c r="R66" i="31"/>
  <c r="Q66" i="31"/>
  <c r="P66" i="31"/>
  <c r="O66" i="31"/>
  <c r="N66" i="31"/>
  <c r="I66" i="31"/>
  <c r="H66" i="31"/>
  <c r="T66" i="31"/>
  <c r="J66" i="31" s="1"/>
  <c r="U65" i="31"/>
  <c r="K65" i="31" s="1"/>
  <c r="R65" i="31"/>
  <c r="Q65" i="31"/>
  <c r="P65" i="31"/>
  <c r="O65" i="31"/>
  <c r="N65" i="31"/>
  <c r="I65" i="31"/>
  <c r="H65" i="31"/>
  <c r="U64" i="31"/>
  <c r="K64" i="31" s="1"/>
  <c r="R64" i="31"/>
  <c r="Q64" i="31"/>
  <c r="P64" i="31"/>
  <c r="O64" i="31"/>
  <c r="N64" i="31"/>
  <c r="I64" i="31"/>
  <c r="H64" i="31"/>
  <c r="U63" i="31"/>
  <c r="K63" i="31" s="1"/>
  <c r="R63" i="31"/>
  <c r="Q63" i="31"/>
  <c r="P63" i="31"/>
  <c r="O63" i="31"/>
  <c r="N63" i="31"/>
  <c r="I63" i="31"/>
  <c r="H63" i="31"/>
  <c r="T63" i="31"/>
  <c r="J63" i="31" s="1"/>
  <c r="U62" i="31"/>
  <c r="K62" i="31" s="1"/>
  <c r="R62" i="31"/>
  <c r="Q62" i="31"/>
  <c r="P62" i="31"/>
  <c r="O62" i="31"/>
  <c r="N62" i="31"/>
  <c r="I62" i="31"/>
  <c r="H62" i="31"/>
  <c r="U61" i="31"/>
  <c r="K61" i="31" s="1"/>
  <c r="R61" i="31"/>
  <c r="Q61" i="31"/>
  <c r="P61" i="31"/>
  <c r="O61" i="31"/>
  <c r="N61" i="31"/>
  <c r="I61" i="31"/>
  <c r="H61" i="31"/>
  <c r="U60" i="31"/>
  <c r="K60" i="31" s="1"/>
  <c r="R60" i="31"/>
  <c r="Q60" i="31"/>
  <c r="P60" i="31"/>
  <c r="O60" i="31"/>
  <c r="N60" i="31"/>
  <c r="I60" i="31"/>
  <c r="H60" i="31"/>
  <c r="U59" i="31"/>
  <c r="K59" i="31" s="1"/>
  <c r="R59" i="31"/>
  <c r="Q59" i="31"/>
  <c r="P59" i="31"/>
  <c r="O59" i="31"/>
  <c r="N59" i="31"/>
  <c r="I59" i="31"/>
  <c r="H59" i="31"/>
  <c r="T59" i="31"/>
  <c r="J59" i="31" s="1"/>
  <c r="U58" i="31"/>
  <c r="K58" i="31" s="1"/>
  <c r="R58" i="31"/>
  <c r="Q58" i="31"/>
  <c r="P58" i="31"/>
  <c r="O58" i="31"/>
  <c r="N58" i="31"/>
  <c r="I58" i="31"/>
  <c r="H58" i="31"/>
  <c r="T58" i="31"/>
  <c r="J58" i="31" s="1"/>
  <c r="U57" i="31"/>
  <c r="K57" i="31" s="1"/>
  <c r="R57" i="31"/>
  <c r="Q57" i="31"/>
  <c r="P57" i="31"/>
  <c r="O57" i="31"/>
  <c r="N57" i="31"/>
  <c r="I57" i="31"/>
  <c r="H57" i="31"/>
  <c r="U56" i="31"/>
  <c r="K56" i="31" s="1"/>
  <c r="R56" i="31"/>
  <c r="Q56" i="31"/>
  <c r="P56" i="31"/>
  <c r="O56" i="31"/>
  <c r="N56" i="31"/>
  <c r="I56" i="31"/>
  <c r="H56" i="31"/>
  <c r="U55" i="31"/>
  <c r="K55" i="31" s="1"/>
  <c r="R55" i="31"/>
  <c r="Q55" i="31"/>
  <c r="P55" i="31"/>
  <c r="O55" i="31"/>
  <c r="N55" i="31"/>
  <c r="I55" i="31"/>
  <c r="H55" i="31"/>
  <c r="T55" i="31"/>
  <c r="J55" i="31" s="1"/>
  <c r="U54" i="31"/>
  <c r="K54" i="31" s="1"/>
  <c r="R54" i="31"/>
  <c r="Q54" i="31"/>
  <c r="P54" i="31"/>
  <c r="O54" i="31"/>
  <c r="N54" i="31"/>
  <c r="I54" i="31"/>
  <c r="H54" i="31"/>
  <c r="U53" i="31"/>
  <c r="K53" i="31" s="1"/>
  <c r="R53" i="31"/>
  <c r="Q53" i="31"/>
  <c r="P53" i="31"/>
  <c r="O53" i="31"/>
  <c r="N53" i="31"/>
  <c r="I53" i="31"/>
  <c r="H53" i="31"/>
  <c r="U52" i="31"/>
  <c r="K52" i="31" s="1"/>
  <c r="R52" i="31"/>
  <c r="Q52" i="31"/>
  <c r="P52" i="31"/>
  <c r="O52" i="31"/>
  <c r="N52" i="31"/>
  <c r="I52" i="31"/>
  <c r="H52" i="31"/>
  <c r="U51" i="31"/>
  <c r="K51" i="31" s="1"/>
  <c r="R51" i="31"/>
  <c r="Q51" i="31"/>
  <c r="P51" i="31"/>
  <c r="O51" i="31"/>
  <c r="N51" i="31"/>
  <c r="I51" i="31"/>
  <c r="H51" i="31"/>
  <c r="T51" i="31"/>
  <c r="J51" i="31" s="1"/>
  <c r="U50" i="31"/>
  <c r="K50" i="31" s="1"/>
  <c r="R50" i="31"/>
  <c r="Q50" i="31"/>
  <c r="P50" i="31"/>
  <c r="O50" i="31"/>
  <c r="N50" i="31"/>
  <c r="I50" i="31"/>
  <c r="H50" i="31"/>
  <c r="T50" i="31"/>
  <c r="J50" i="31" s="1"/>
  <c r="U49" i="31"/>
  <c r="K49" i="31" s="1"/>
  <c r="R49" i="31"/>
  <c r="Q49" i="31"/>
  <c r="P49" i="31"/>
  <c r="O49" i="31"/>
  <c r="N49" i="31"/>
  <c r="I49" i="31"/>
  <c r="H49" i="31"/>
  <c r="U48" i="31"/>
  <c r="K48" i="31" s="1"/>
  <c r="R48" i="31"/>
  <c r="Q48" i="31"/>
  <c r="P48" i="31"/>
  <c r="O48" i="31"/>
  <c r="N48" i="31"/>
  <c r="I48" i="31"/>
  <c r="H48" i="31"/>
  <c r="U47" i="31"/>
  <c r="K47" i="31" s="1"/>
  <c r="R47" i="31"/>
  <c r="Q47" i="31"/>
  <c r="P47" i="31"/>
  <c r="O47" i="31"/>
  <c r="N47" i="31"/>
  <c r="I47" i="31"/>
  <c r="H47" i="31"/>
  <c r="T47" i="31"/>
  <c r="J47" i="31" s="1"/>
  <c r="U46" i="31"/>
  <c r="K46" i="31" s="1"/>
  <c r="R46" i="31"/>
  <c r="Q46" i="31"/>
  <c r="P46" i="31"/>
  <c r="O46" i="31"/>
  <c r="N46" i="31"/>
  <c r="I46" i="31"/>
  <c r="H46" i="31"/>
  <c r="T46" i="31"/>
  <c r="J46" i="31" s="1"/>
  <c r="U45" i="31"/>
  <c r="K45" i="31" s="1"/>
  <c r="R45" i="31"/>
  <c r="Q45" i="31"/>
  <c r="P45" i="31"/>
  <c r="O45" i="31"/>
  <c r="N45" i="31"/>
  <c r="I45" i="31"/>
  <c r="H45" i="31"/>
  <c r="U44" i="31"/>
  <c r="K44" i="31" s="1"/>
  <c r="R44" i="31"/>
  <c r="Q44" i="31"/>
  <c r="P44" i="31"/>
  <c r="O44" i="31"/>
  <c r="N44" i="31"/>
  <c r="I44" i="31"/>
  <c r="H44" i="31"/>
  <c r="U43" i="31"/>
  <c r="K43" i="31" s="1"/>
  <c r="R43" i="31"/>
  <c r="Q43" i="31"/>
  <c r="P43" i="31"/>
  <c r="O43" i="31"/>
  <c r="N43" i="31"/>
  <c r="I43" i="31"/>
  <c r="H43" i="31"/>
  <c r="T43" i="31"/>
  <c r="J43" i="31" s="1"/>
  <c r="U42" i="31"/>
  <c r="K42" i="31" s="1"/>
  <c r="R42" i="31"/>
  <c r="Q42" i="31"/>
  <c r="P42" i="31"/>
  <c r="O42" i="31"/>
  <c r="N42" i="31"/>
  <c r="I42" i="31"/>
  <c r="H42" i="31"/>
  <c r="U41" i="31"/>
  <c r="K41" i="31" s="1"/>
  <c r="R41" i="31"/>
  <c r="Q41" i="31"/>
  <c r="P41" i="31"/>
  <c r="O41" i="31"/>
  <c r="N41" i="31"/>
  <c r="I41" i="31"/>
  <c r="H41" i="31"/>
  <c r="U40" i="31"/>
  <c r="K40" i="31" s="1"/>
  <c r="R40" i="31"/>
  <c r="Q40" i="31"/>
  <c r="P40" i="31"/>
  <c r="O40" i="31"/>
  <c r="N40" i="31"/>
  <c r="I40" i="31"/>
  <c r="H40" i="31"/>
  <c r="U39" i="31"/>
  <c r="K39" i="31" s="1"/>
  <c r="R39" i="31"/>
  <c r="Q39" i="31"/>
  <c r="P39" i="31"/>
  <c r="O39" i="31"/>
  <c r="N39" i="31"/>
  <c r="I39" i="31"/>
  <c r="H39" i="31"/>
  <c r="T39" i="31"/>
  <c r="J39" i="31" s="1"/>
  <c r="U38" i="31"/>
  <c r="K38" i="31" s="1"/>
  <c r="T38" i="31"/>
  <c r="J38" i="31" s="1"/>
  <c r="R38" i="31"/>
  <c r="Q38" i="31"/>
  <c r="P38" i="31"/>
  <c r="O38" i="31"/>
  <c r="N38" i="31"/>
  <c r="I38" i="31"/>
  <c r="H38" i="31"/>
  <c r="U37" i="31"/>
  <c r="K37" i="31" s="1"/>
  <c r="R37" i="31"/>
  <c r="Q37" i="31"/>
  <c r="P37" i="31"/>
  <c r="O37" i="31"/>
  <c r="N37" i="31"/>
  <c r="I37" i="31"/>
  <c r="H37" i="31"/>
  <c r="U36" i="31"/>
  <c r="K36" i="31" s="1"/>
  <c r="R36" i="31"/>
  <c r="Q36" i="31"/>
  <c r="P36" i="31"/>
  <c r="O36" i="31"/>
  <c r="N36" i="31"/>
  <c r="I36" i="31"/>
  <c r="H36" i="31"/>
  <c r="T36" i="31"/>
  <c r="J36" i="31" s="1"/>
  <c r="U35" i="31"/>
  <c r="K35" i="31" s="1"/>
  <c r="R35" i="31"/>
  <c r="Q35" i="31"/>
  <c r="P35" i="31"/>
  <c r="O35" i="31"/>
  <c r="N35" i="31"/>
  <c r="I35" i="31"/>
  <c r="H35" i="31"/>
  <c r="T35" i="31"/>
  <c r="J35" i="31" s="1"/>
  <c r="U34" i="31"/>
  <c r="K34" i="31" s="1"/>
  <c r="R34" i="31"/>
  <c r="Q34" i="31"/>
  <c r="P34" i="31"/>
  <c r="O34" i="31"/>
  <c r="N34" i="31"/>
  <c r="I34" i="31"/>
  <c r="H34" i="31"/>
  <c r="T34" i="31"/>
  <c r="J34" i="31" s="1"/>
  <c r="U33" i="31"/>
  <c r="K33" i="31" s="1"/>
  <c r="R33" i="31"/>
  <c r="Q33" i="31"/>
  <c r="P33" i="31"/>
  <c r="O33" i="31"/>
  <c r="N33" i="31"/>
  <c r="I33" i="31"/>
  <c r="H33" i="31"/>
  <c r="U32" i="31"/>
  <c r="K32" i="31" s="1"/>
  <c r="R32" i="31"/>
  <c r="Q32" i="31"/>
  <c r="P32" i="31"/>
  <c r="O32" i="31"/>
  <c r="N32" i="31"/>
  <c r="I32" i="31"/>
  <c r="H32" i="31"/>
  <c r="U31" i="31"/>
  <c r="R31" i="31"/>
  <c r="Q31" i="31"/>
  <c r="P31" i="31"/>
  <c r="O31" i="31"/>
  <c r="N31" i="31"/>
  <c r="K31" i="31"/>
  <c r="I31" i="31"/>
  <c r="H31" i="31"/>
  <c r="T31" i="31"/>
  <c r="J31" i="31" s="1"/>
  <c r="U30" i="31"/>
  <c r="K30" i="31" s="1"/>
  <c r="R30" i="31"/>
  <c r="Q30" i="31"/>
  <c r="P30" i="31"/>
  <c r="O30" i="31"/>
  <c r="N30" i="31"/>
  <c r="I30" i="31"/>
  <c r="H30" i="31"/>
  <c r="U29" i="31"/>
  <c r="K29" i="31" s="1"/>
  <c r="R29" i="31"/>
  <c r="Q29" i="31"/>
  <c r="P29" i="31"/>
  <c r="O29" i="31"/>
  <c r="N29" i="31"/>
  <c r="I29" i="31"/>
  <c r="H29" i="31"/>
  <c r="U28" i="31"/>
  <c r="R28" i="31"/>
  <c r="Q28" i="31"/>
  <c r="P28" i="31"/>
  <c r="O28" i="31"/>
  <c r="N28" i="31"/>
  <c r="K28" i="31"/>
  <c r="I28" i="31"/>
  <c r="H28" i="31"/>
  <c r="U27" i="31"/>
  <c r="K27" i="31" s="1"/>
  <c r="R27" i="31"/>
  <c r="Q27" i="31"/>
  <c r="P27" i="31"/>
  <c r="O27" i="31"/>
  <c r="N27" i="31"/>
  <c r="I27" i="31"/>
  <c r="H27" i="31"/>
  <c r="T27" i="31"/>
  <c r="J27" i="31" s="1"/>
  <c r="U26" i="31"/>
  <c r="R26" i="31"/>
  <c r="Q26" i="31"/>
  <c r="P26" i="31"/>
  <c r="O26" i="31"/>
  <c r="N26" i="31"/>
  <c r="K26" i="31"/>
  <c r="I26" i="31"/>
  <c r="H26" i="31"/>
  <c r="U25" i="31"/>
  <c r="R25" i="31"/>
  <c r="Q25" i="31"/>
  <c r="P25" i="31"/>
  <c r="O25" i="31"/>
  <c r="N25" i="31"/>
  <c r="K25" i="31"/>
  <c r="I25" i="31"/>
  <c r="H25" i="31"/>
  <c r="U24" i="31"/>
  <c r="R24" i="31"/>
  <c r="Q24" i="31"/>
  <c r="P24" i="31"/>
  <c r="O24" i="31"/>
  <c r="N24" i="31"/>
  <c r="K24" i="31"/>
  <c r="I24" i="31"/>
  <c r="H24" i="31"/>
  <c r="T24" i="31"/>
  <c r="J24" i="31" s="1"/>
  <c r="U23" i="31"/>
  <c r="R23" i="31"/>
  <c r="Q23" i="31"/>
  <c r="P23" i="31"/>
  <c r="O23" i="31"/>
  <c r="N23" i="31"/>
  <c r="K23" i="31"/>
  <c r="I23" i="31"/>
  <c r="H23" i="31"/>
  <c r="T23" i="31"/>
  <c r="J23" i="31" s="1"/>
  <c r="U22" i="31"/>
  <c r="K22" i="31" s="1"/>
  <c r="R22" i="31"/>
  <c r="Q22" i="31"/>
  <c r="P22" i="31"/>
  <c r="O22" i="31"/>
  <c r="N22" i="31"/>
  <c r="I22" i="31"/>
  <c r="H22" i="31"/>
  <c r="U21" i="31"/>
  <c r="R21" i="31"/>
  <c r="Q21" i="31"/>
  <c r="P21" i="31"/>
  <c r="O21" i="31"/>
  <c r="N21" i="31"/>
  <c r="K21" i="31"/>
  <c r="I21" i="31"/>
  <c r="H21" i="31"/>
  <c r="U20" i="31"/>
  <c r="K20" i="31" s="1"/>
  <c r="R20" i="31"/>
  <c r="Q20" i="31"/>
  <c r="P20" i="31"/>
  <c r="O20" i="31"/>
  <c r="N20" i="31"/>
  <c r="I20" i="31"/>
  <c r="H20" i="31"/>
  <c r="T20" i="31"/>
  <c r="J20" i="31" s="1"/>
  <c r="U19" i="31"/>
  <c r="R19" i="31"/>
  <c r="Q19" i="31"/>
  <c r="P19" i="31"/>
  <c r="O19" i="31"/>
  <c r="N19" i="31"/>
  <c r="K19" i="31"/>
  <c r="I19" i="31"/>
  <c r="H19" i="31"/>
  <c r="T19" i="31"/>
  <c r="J19" i="31" s="1"/>
  <c r="U18" i="31"/>
  <c r="K18" i="31" s="1"/>
  <c r="R18" i="31"/>
  <c r="Q18" i="31"/>
  <c r="P18" i="31"/>
  <c r="O18" i="31"/>
  <c r="N18" i="31"/>
  <c r="I18" i="31"/>
  <c r="H18" i="31"/>
  <c r="U17" i="31"/>
  <c r="R17" i="31"/>
  <c r="Q17" i="31"/>
  <c r="P17" i="31"/>
  <c r="O17" i="31"/>
  <c r="N17" i="31"/>
  <c r="K17" i="31"/>
  <c r="I17" i="31"/>
  <c r="H17" i="31"/>
  <c r="U16" i="31"/>
  <c r="K16" i="31" s="1"/>
  <c r="R16" i="31"/>
  <c r="Q16" i="31"/>
  <c r="P16" i="31"/>
  <c r="O16" i="31"/>
  <c r="N16" i="31"/>
  <c r="I16" i="31"/>
  <c r="H16" i="31"/>
  <c r="T16" i="31"/>
  <c r="J16" i="31" s="1"/>
  <c r="U15" i="31"/>
  <c r="R15" i="31"/>
  <c r="Q15" i="31"/>
  <c r="P15" i="31"/>
  <c r="O15" i="31"/>
  <c r="N15" i="31"/>
  <c r="K15" i="31"/>
  <c r="I15" i="31"/>
  <c r="H15" i="31"/>
  <c r="T15" i="31"/>
  <c r="J15" i="31" s="1"/>
  <c r="U14" i="31"/>
  <c r="K14" i="31" s="1"/>
  <c r="R14" i="31"/>
  <c r="Q14" i="31"/>
  <c r="P14" i="31"/>
  <c r="O14" i="31"/>
  <c r="N14" i="31"/>
  <c r="I14" i="31"/>
  <c r="H14" i="31"/>
  <c r="U13" i="31"/>
  <c r="K13" i="31" s="1"/>
  <c r="R13" i="31"/>
  <c r="Q13" i="31"/>
  <c r="P13" i="31"/>
  <c r="O13" i="31"/>
  <c r="N13" i="31"/>
  <c r="I13" i="31"/>
  <c r="H13" i="31"/>
  <c r="U12" i="31"/>
  <c r="R12" i="31"/>
  <c r="Q12" i="31"/>
  <c r="P12" i="31"/>
  <c r="O12" i="31"/>
  <c r="N12" i="31"/>
  <c r="K12" i="31"/>
  <c r="I12" i="31"/>
  <c r="H12" i="31"/>
  <c r="T12" i="31"/>
  <c r="J12" i="31" s="1"/>
  <c r="U11" i="31"/>
  <c r="K11" i="31" s="1"/>
  <c r="R11" i="31"/>
  <c r="Q11" i="31"/>
  <c r="P11" i="31"/>
  <c r="O11" i="31"/>
  <c r="N11" i="31"/>
  <c r="I11" i="31"/>
  <c r="H11" i="31"/>
  <c r="T11" i="31"/>
  <c r="J11" i="31" s="1"/>
  <c r="U10" i="31"/>
  <c r="K10" i="31" s="1"/>
  <c r="R10" i="31"/>
  <c r="Q10" i="31"/>
  <c r="P10" i="31"/>
  <c r="O10" i="31"/>
  <c r="N10" i="31"/>
  <c r="I10" i="31"/>
  <c r="H10" i="31"/>
  <c r="D3" i="31"/>
  <c r="D2" i="31"/>
  <c r="G94" i="6"/>
  <c r="C38" i="34" s="1"/>
  <c r="Q38" i="34" s="1"/>
  <c r="G93" i="6"/>
  <c r="C37" i="34" s="1"/>
  <c r="G92" i="6"/>
  <c r="C36" i="34" s="1"/>
  <c r="G91" i="6"/>
  <c r="C35" i="34" s="1"/>
  <c r="G90" i="6"/>
  <c r="C34" i="34" s="1"/>
  <c r="G89" i="6"/>
  <c r="C33" i="34" s="1"/>
  <c r="G88" i="6"/>
  <c r="C32" i="34" s="1"/>
  <c r="G87" i="6"/>
  <c r="C31" i="34" s="1"/>
  <c r="Q31" i="34" s="1"/>
  <c r="G86" i="6"/>
  <c r="C30" i="34" s="1"/>
  <c r="J34" i="35" s="1"/>
  <c r="K34" i="35" s="1"/>
  <c r="G85" i="6"/>
  <c r="C29" i="34" s="1"/>
  <c r="G84" i="6"/>
  <c r="C28" i="34" s="1"/>
  <c r="G83" i="6"/>
  <c r="C27" i="34" s="1"/>
  <c r="G81" i="6"/>
  <c r="C25" i="34" s="1"/>
  <c r="G80" i="6"/>
  <c r="C24" i="34" s="1"/>
  <c r="G79" i="6"/>
  <c r="C23" i="34" s="1"/>
  <c r="G65" i="6"/>
  <c r="G75" i="6" s="1"/>
  <c r="G60" i="6"/>
  <c r="G74" i="6" s="1"/>
  <c r="G54" i="6"/>
  <c r="G73" i="6" s="1"/>
  <c r="G42" i="6"/>
  <c r="G72" i="6" s="1"/>
  <c r="G32" i="29"/>
  <c r="F32" i="29"/>
  <c r="I27" i="29"/>
  <c r="H27" i="29"/>
  <c r="G27" i="29"/>
  <c r="F27" i="29"/>
  <c r="F31" i="29" s="1"/>
  <c r="C7" i="28"/>
  <c r="C6" i="28"/>
  <c r="C5" i="28"/>
  <c r="B58" i="24"/>
  <c r="A97" i="6"/>
  <c r="A10" i="27"/>
  <c r="A77" i="2"/>
  <c r="B84" i="19"/>
  <c r="B83" i="18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L43" i="24"/>
  <c r="Q79" i="1"/>
  <c r="R79" i="1"/>
  <c r="S79" i="1"/>
  <c r="D3" i="19"/>
  <c r="E2" i="18"/>
  <c r="L21" i="27" a="1"/>
  <c r="L21" i="27" s="1"/>
  <c r="C22" i="34" l="1"/>
  <c r="P20" i="32"/>
  <c r="P35" i="32"/>
  <c r="P39" i="32"/>
  <c r="P15" i="32"/>
  <c r="V55" i="32"/>
  <c r="AB55" i="32" s="1"/>
  <c r="R55" i="32" s="1"/>
  <c r="U42" i="6"/>
  <c r="U72" i="6" s="1"/>
  <c r="J36" i="35"/>
  <c r="K36" i="35" s="1"/>
  <c r="Q32" i="34"/>
  <c r="R32" i="34" s="1"/>
  <c r="Q26" i="34"/>
  <c r="F6" i="32"/>
  <c r="G6" i="32" s="1"/>
  <c r="Q33" i="29"/>
  <c r="M34" i="29" s="1"/>
  <c r="Q27" i="34"/>
  <c r="R27" i="34" s="1"/>
  <c r="J31" i="35"/>
  <c r="K31" i="35" s="1"/>
  <c r="Q24" i="34"/>
  <c r="R24" i="34" s="1"/>
  <c r="J28" i="35"/>
  <c r="K28" i="35" s="1"/>
  <c r="J37" i="35"/>
  <c r="K37" i="35" s="1"/>
  <c r="Q33" i="34"/>
  <c r="R33" i="34" s="1"/>
  <c r="J29" i="35"/>
  <c r="K29" i="35" s="1"/>
  <c r="Q25" i="34"/>
  <c r="R25" i="34" s="1"/>
  <c r="J38" i="35"/>
  <c r="K38" i="35" s="1"/>
  <c r="Q34" i="34"/>
  <c r="R34" i="34" s="1"/>
  <c r="Q35" i="34"/>
  <c r="R35" i="34" s="1"/>
  <c r="J39" i="35"/>
  <c r="K39" i="35" s="1"/>
  <c r="T54" i="6"/>
  <c r="S54" i="6"/>
  <c r="U54" i="6"/>
  <c r="U73" i="6" s="1"/>
  <c r="Q54" i="6"/>
  <c r="R54" i="6"/>
  <c r="J33" i="35"/>
  <c r="K33" i="35" s="1"/>
  <c r="Q29" i="34"/>
  <c r="R29" i="34" s="1"/>
  <c r="Q37" i="34"/>
  <c r="R37" i="34" s="1"/>
  <c r="J41" i="35"/>
  <c r="K41" i="35" s="1"/>
  <c r="J27" i="35"/>
  <c r="K27" i="35" s="1"/>
  <c r="Q23" i="34"/>
  <c r="R23" i="34" s="1"/>
  <c r="J32" i="35"/>
  <c r="K32" i="35" s="1"/>
  <c r="Q28" i="34"/>
  <c r="R28" i="34" s="1"/>
  <c r="J40" i="35"/>
  <c r="K40" i="35" s="1"/>
  <c r="Q36" i="34"/>
  <c r="R36" i="34" s="1"/>
  <c r="J35" i="35"/>
  <c r="K35" i="35" s="1"/>
  <c r="Q30" i="34"/>
  <c r="R30" i="34" s="1"/>
  <c r="J42" i="35"/>
  <c r="K42" i="35" s="1"/>
  <c r="P37" i="32"/>
  <c r="P34" i="32"/>
  <c r="P23" i="32"/>
  <c r="P24" i="32"/>
  <c r="P25" i="32"/>
  <c r="P11" i="32"/>
  <c r="P16" i="32"/>
  <c r="P22" i="32"/>
  <c r="N22" i="32"/>
  <c r="N23" i="32"/>
  <c r="V10" i="32"/>
  <c r="N11" i="32"/>
  <c r="I19" i="35"/>
  <c r="J19" i="35" s="1"/>
  <c r="Q18" i="34"/>
  <c r="R18" i="34" s="1"/>
  <c r="Q19" i="34"/>
  <c r="I20" i="35"/>
  <c r="J20" i="35" s="1"/>
  <c r="Q17" i="34"/>
  <c r="R17" i="34" s="1"/>
  <c r="I18" i="35"/>
  <c r="J18" i="35" s="1"/>
  <c r="I17" i="35"/>
  <c r="J17" i="35" s="1"/>
  <c r="Q16" i="34"/>
  <c r="R16" i="34" s="1"/>
  <c r="N15" i="32"/>
  <c r="N16" i="32"/>
  <c r="N19" i="32"/>
  <c r="N20" i="32"/>
  <c r="N29" i="32"/>
  <c r="N31" i="32"/>
  <c r="I24" i="32"/>
  <c r="X24" i="32" s="1"/>
  <c r="R49" i="34"/>
  <c r="R19" i="34"/>
  <c r="R53" i="34"/>
  <c r="I8" i="35"/>
  <c r="I10" i="35" s="1"/>
  <c r="R14" i="34"/>
  <c r="R44" i="34"/>
  <c r="N18" i="34"/>
  <c r="P18" i="34" s="1"/>
  <c r="R31" i="29"/>
  <c r="R33" i="29" s="1"/>
  <c r="R34" i="29" s="1"/>
  <c r="N19" i="34"/>
  <c r="P19" i="34" s="1"/>
  <c r="R48" i="34"/>
  <c r="N16" i="34"/>
  <c r="P16" i="34" s="1"/>
  <c r="R26" i="34"/>
  <c r="R31" i="34"/>
  <c r="R47" i="34"/>
  <c r="R51" i="34"/>
  <c r="R55" i="34"/>
  <c r="N14" i="34"/>
  <c r="P14" i="34" s="1"/>
  <c r="N15" i="34"/>
  <c r="P15" i="34" s="1"/>
  <c r="R38" i="34"/>
  <c r="R42" i="34"/>
  <c r="R52" i="34"/>
  <c r="C10" i="34"/>
  <c r="P8" i="34" s="1"/>
  <c r="N17" i="34"/>
  <c r="P17" i="34" s="1"/>
  <c r="R46" i="34"/>
  <c r="R50" i="34"/>
  <c r="R54" i="34"/>
  <c r="G31" i="29"/>
  <c r="G33" i="29" s="1"/>
  <c r="G34" i="29" s="1"/>
  <c r="I80" i="31"/>
  <c r="J22" i="33"/>
  <c r="L22" i="33" s="1"/>
  <c r="D28" i="33"/>
  <c r="D27" i="33" s="1"/>
  <c r="J16" i="33"/>
  <c r="J32" i="33"/>
  <c r="R42" i="6"/>
  <c r="Q42" i="6"/>
  <c r="T42" i="6"/>
  <c r="S42" i="6"/>
  <c r="S65" i="6"/>
  <c r="S75" i="6" s="1"/>
  <c r="F49" i="33" s="1"/>
  <c r="U60" i="6"/>
  <c r="U74" i="6" s="1"/>
  <c r="U65" i="6"/>
  <c r="U75" i="6" s="1"/>
  <c r="S60" i="6"/>
  <c r="S74" i="6" s="1"/>
  <c r="F48" i="33" s="1"/>
  <c r="T60" i="6"/>
  <c r="T74" i="6" s="1"/>
  <c r="D48" i="33" s="1"/>
  <c r="T65" i="6"/>
  <c r="T75" i="6" s="1"/>
  <c r="D49" i="33" s="1"/>
  <c r="O75" i="2"/>
  <c r="N24" i="32"/>
  <c r="N32" i="32"/>
  <c r="N33" i="32"/>
  <c r="N18" i="32"/>
  <c r="N25" i="32"/>
  <c r="N35" i="32"/>
  <c r="N36" i="32"/>
  <c r="N37" i="32"/>
  <c r="N38" i="32"/>
  <c r="N39" i="32"/>
  <c r="N40" i="32"/>
  <c r="N14" i="32"/>
  <c r="P17" i="32"/>
  <c r="P26" i="32"/>
  <c r="P36" i="32"/>
  <c r="P12" i="32"/>
  <c r="P31" i="32"/>
  <c r="P38" i="32"/>
  <c r="P10" i="32"/>
  <c r="P13" i="32"/>
  <c r="P19" i="32"/>
  <c r="P32" i="32"/>
  <c r="P40" i="32"/>
  <c r="V57" i="32"/>
  <c r="I57" i="32"/>
  <c r="Y57" i="32" s="1"/>
  <c r="W11" i="32"/>
  <c r="V22" i="32"/>
  <c r="W75" i="32"/>
  <c r="AC75" i="32" s="1"/>
  <c r="S75" i="32" s="1"/>
  <c r="I22" i="32"/>
  <c r="X22" i="32" s="1"/>
  <c r="AA22" i="32" s="1"/>
  <c r="Q22" i="32" s="1"/>
  <c r="V32" i="32"/>
  <c r="U10" i="32"/>
  <c r="W10" i="32"/>
  <c r="I10" i="32"/>
  <c r="Y10" i="32" s="1"/>
  <c r="U14" i="32"/>
  <c r="U30" i="32"/>
  <c r="V30" i="32"/>
  <c r="I30" i="32"/>
  <c r="Y30" i="32" s="1"/>
  <c r="W30" i="32"/>
  <c r="W13" i="32"/>
  <c r="U13" i="32"/>
  <c r="I13" i="32"/>
  <c r="Y13" i="32" s="1"/>
  <c r="W17" i="32"/>
  <c r="U17" i="32"/>
  <c r="V13" i="32"/>
  <c r="V17" i="32"/>
  <c r="V14" i="32"/>
  <c r="I14" i="32"/>
  <c r="Z14" i="32" s="1"/>
  <c r="AC14" i="32" s="1"/>
  <c r="S14" i="32" s="1"/>
  <c r="P14" i="32"/>
  <c r="W16" i="32"/>
  <c r="I16" i="32"/>
  <c r="Y16" i="32" s="1"/>
  <c r="U20" i="32"/>
  <c r="I20" i="32"/>
  <c r="Z20" i="32" s="1"/>
  <c r="AC20" i="32" s="1"/>
  <c r="S20" i="32" s="1"/>
  <c r="V20" i="32"/>
  <c r="W34" i="32"/>
  <c r="V34" i="32"/>
  <c r="I34" i="32"/>
  <c r="V58" i="32"/>
  <c r="AB58" i="32" s="1"/>
  <c r="R58" i="32" s="1"/>
  <c r="V60" i="32"/>
  <c r="AB60" i="32" s="1"/>
  <c r="R60" i="32" s="1"/>
  <c r="W63" i="32"/>
  <c r="AC63" i="32" s="1"/>
  <c r="S63" i="32" s="1"/>
  <c r="V25" i="32"/>
  <c r="V29" i="32"/>
  <c r="V33" i="32"/>
  <c r="U65" i="32"/>
  <c r="AA65" i="32" s="1"/>
  <c r="Q65" i="32" s="1"/>
  <c r="V75" i="32"/>
  <c r="AB75" i="32" s="1"/>
  <c r="R75" i="32" s="1"/>
  <c r="V77" i="32"/>
  <c r="AB77" i="32" s="1"/>
  <c r="R77" i="32" s="1"/>
  <c r="W25" i="32"/>
  <c r="W29" i="32"/>
  <c r="V48" i="32"/>
  <c r="AB48" i="32" s="1"/>
  <c r="R48" i="32" s="1"/>
  <c r="W61" i="32"/>
  <c r="AC61" i="32" s="1"/>
  <c r="S61" i="32" s="1"/>
  <c r="W67" i="32"/>
  <c r="AC67" i="32" s="1"/>
  <c r="S67" i="32" s="1"/>
  <c r="V78" i="32"/>
  <c r="AB78" i="32" s="1"/>
  <c r="R78" i="32" s="1"/>
  <c r="I17" i="32"/>
  <c r="Y17" i="32" s="1"/>
  <c r="W22" i="32"/>
  <c r="V24" i="32"/>
  <c r="I25" i="32"/>
  <c r="Y25" i="32" s="1"/>
  <c r="W26" i="32"/>
  <c r="I29" i="32"/>
  <c r="Y29" i="32" s="1"/>
  <c r="I32" i="32"/>
  <c r="I33" i="32"/>
  <c r="Z33" i="32" s="1"/>
  <c r="V46" i="32"/>
  <c r="AB46" i="32" s="1"/>
  <c r="R46" i="32" s="1"/>
  <c r="W71" i="32"/>
  <c r="AC71" i="32" s="1"/>
  <c r="S71" i="32" s="1"/>
  <c r="W78" i="32"/>
  <c r="AC78" i="32" s="1"/>
  <c r="S78" i="32" s="1"/>
  <c r="D80" i="31"/>
  <c r="T57" i="31"/>
  <c r="J57" i="31" s="1"/>
  <c r="D8" i="31"/>
  <c r="I81" i="31" s="1"/>
  <c r="I82" i="31" s="1"/>
  <c r="J30" i="33" s="1"/>
  <c r="F33" i="29"/>
  <c r="B34" i="29" s="1"/>
  <c r="W21" i="32"/>
  <c r="V21" i="32"/>
  <c r="I21" i="32"/>
  <c r="U66" i="32"/>
  <c r="AA66" i="32" s="1"/>
  <c r="Q66" i="32" s="1"/>
  <c r="U74" i="32"/>
  <c r="AA74" i="32" s="1"/>
  <c r="Q74" i="32" s="1"/>
  <c r="U19" i="32"/>
  <c r="V38" i="32"/>
  <c r="I38" i="32"/>
  <c r="V42" i="32"/>
  <c r="AB42" i="32" s="1"/>
  <c r="R42" i="32" s="1"/>
  <c r="W42" i="32"/>
  <c r="AC42" i="32" s="1"/>
  <c r="S42" i="32" s="1"/>
  <c r="U42" i="32"/>
  <c r="AA42" i="32" s="1"/>
  <c r="Q42" i="32" s="1"/>
  <c r="W66" i="32"/>
  <c r="AC66" i="32" s="1"/>
  <c r="S66" i="32" s="1"/>
  <c r="U69" i="32"/>
  <c r="AA69" i="32" s="1"/>
  <c r="Q69" i="32" s="1"/>
  <c r="W70" i="32"/>
  <c r="AC70" i="32" s="1"/>
  <c r="S70" i="32" s="1"/>
  <c r="U73" i="32"/>
  <c r="AA73" i="32" s="1"/>
  <c r="Q73" i="32" s="1"/>
  <c r="W74" i="32"/>
  <c r="AC74" i="32" s="1"/>
  <c r="S74" i="32" s="1"/>
  <c r="I11" i="32"/>
  <c r="U11" i="32"/>
  <c r="V12" i="32"/>
  <c r="P18" i="32"/>
  <c r="I19" i="32"/>
  <c r="V19" i="32"/>
  <c r="U41" i="32"/>
  <c r="AA41" i="32" s="1"/>
  <c r="Q41" i="32" s="1"/>
  <c r="V56" i="32"/>
  <c r="AB56" i="32" s="1"/>
  <c r="R56" i="32" s="1"/>
  <c r="W56" i="32"/>
  <c r="AC56" i="32" s="1"/>
  <c r="S56" i="32" s="1"/>
  <c r="U56" i="32"/>
  <c r="AA56" i="32" s="1"/>
  <c r="Q56" i="32" s="1"/>
  <c r="U64" i="32"/>
  <c r="AA64" i="32" s="1"/>
  <c r="Q64" i="32" s="1"/>
  <c r="W65" i="32"/>
  <c r="AC65" i="32" s="1"/>
  <c r="S65" i="32" s="1"/>
  <c r="U68" i="32"/>
  <c r="AA68" i="32" s="1"/>
  <c r="Q68" i="32" s="1"/>
  <c r="W69" i="32"/>
  <c r="AC69" i="32" s="1"/>
  <c r="S69" i="32" s="1"/>
  <c r="U72" i="32"/>
  <c r="AA72" i="32" s="1"/>
  <c r="Q72" i="32" s="1"/>
  <c r="W73" i="32"/>
  <c r="AC73" i="32" s="1"/>
  <c r="S73" i="32" s="1"/>
  <c r="X30" i="32"/>
  <c r="U70" i="32"/>
  <c r="AA70" i="32" s="1"/>
  <c r="Q70" i="32" s="1"/>
  <c r="I12" i="32"/>
  <c r="U12" i="32"/>
  <c r="U15" i="32"/>
  <c r="I15" i="32"/>
  <c r="W15" i="32"/>
  <c r="W23" i="32"/>
  <c r="V23" i="32"/>
  <c r="I23" i="32"/>
  <c r="W38" i="32"/>
  <c r="V59" i="32"/>
  <c r="AB59" i="32" s="1"/>
  <c r="R59" i="32" s="1"/>
  <c r="U59" i="32"/>
  <c r="AA59" i="32" s="1"/>
  <c r="Q59" i="32" s="1"/>
  <c r="V16" i="32"/>
  <c r="U18" i="32"/>
  <c r="I18" i="32"/>
  <c r="W18" i="32"/>
  <c r="U21" i="32"/>
  <c r="U24" i="32"/>
  <c r="AA24" i="32" s="1"/>
  <c r="Q24" i="32" s="1"/>
  <c r="V27" i="32"/>
  <c r="AB27" i="32" s="1"/>
  <c r="R27" i="32" s="1"/>
  <c r="U27" i="32"/>
  <c r="AA27" i="32" s="1"/>
  <c r="Q27" i="32" s="1"/>
  <c r="W28" i="32"/>
  <c r="AC28" i="32" s="1"/>
  <c r="S28" i="32" s="1"/>
  <c r="V28" i="32"/>
  <c r="AB28" i="32" s="1"/>
  <c r="R28" i="32" s="1"/>
  <c r="P33" i="32"/>
  <c r="V37" i="32"/>
  <c r="I37" i="32"/>
  <c r="U37" i="32"/>
  <c r="W41" i="32"/>
  <c r="AC41" i="32" s="1"/>
  <c r="S41" i="32" s="1"/>
  <c r="P57" i="32"/>
  <c r="U63" i="32"/>
  <c r="AA63" i="32" s="1"/>
  <c r="Q63" i="32" s="1"/>
  <c r="W64" i="32"/>
  <c r="AC64" i="32" s="1"/>
  <c r="S64" i="32" s="1"/>
  <c r="U67" i="32"/>
  <c r="AA67" i="32" s="1"/>
  <c r="Q67" i="32" s="1"/>
  <c r="W68" i="32"/>
  <c r="AC68" i="32" s="1"/>
  <c r="S68" i="32" s="1"/>
  <c r="U71" i="32"/>
  <c r="AA71" i="32" s="1"/>
  <c r="Q71" i="32" s="1"/>
  <c r="W72" i="32"/>
  <c r="AC72" i="32" s="1"/>
  <c r="S72" i="32" s="1"/>
  <c r="V76" i="32"/>
  <c r="AB76" i="32" s="1"/>
  <c r="R76" i="32" s="1"/>
  <c r="W76" i="32"/>
  <c r="AC76" i="32" s="1"/>
  <c r="S76" i="32" s="1"/>
  <c r="U76" i="32"/>
  <c r="AA76" i="32" s="1"/>
  <c r="Q76" i="32" s="1"/>
  <c r="AQ80" i="32"/>
  <c r="U26" i="32"/>
  <c r="O80" i="32"/>
  <c r="O81" i="32"/>
  <c r="U31" i="32"/>
  <c r="W31" i="32"/>
  <c r="V35" i="32"/>
  <c r="I35" i="32"/>
  <c r="W35" i="32"/>
  <c r="V39" i="32"/>
  <c r="I39" i="32"/>
  <c r="W39" i="32"/>
  <c r="AB43" i="32"/>
  <c r="R43" i="32" s="1"/>
  <c r="U43" i="32"/>
  <c r="AA43" i="32" s="1"/>
  <c r="Q43" i="32" s="1"/>
  <c r="AB44" i="32"/>
  <c r="R44" i="32" s="1"/>
  <c r="U44" i="32"/>
  <c r="AA44" i="32" s="1"/>
  <c r="Q44" i="32" s="1"/>
  <c r="AB45" i="32"/>
  <c r="R45" i="32" s="1"/>
  <c r="U45" i="32"/>
  <c r="AA45" i="32" s="1"/>
  <c r="Q45" i="32" s="1"/>
  <c r="AB47" i="32"/>
  <c r="R47" i="32" s="1"/>
  <c r="U47" i="32"/>
  <c r="AA47" i="32" s="1"/>
  <c r="Q47" i="32" s="1"/>
  <c r="AB49" i="32"/>
  <c r="R49" i="32" s="1"/>
  <c r="U49" i="32"/>
  <c r="AA49" i="32" s="1"/>
  <c r="Q49" i="32" s="1"/>
  <c r="AB50" i="32"/>
  <c r="R50" i="32" s="1"/>
  <c r="U50" i="32"/>
  <c r="AA50" i="32" s="1"/>
  <c r="Q50" i="32" s="1"/>
  <c r="AB51" i="32"/>
  <c r="R51" i="32" s="1"/>
  <c r="U51" i="32"/>
  <c r="AA51" i="32" s="1"/>
  <c r="Q51" i="32" s="1"/>
  <c r="AB52" i="32"/>
  <c r="R52" i="32" s="1"/>
  <c r="U52" i="32"/>
  <c r="AA52" i="32" s="1"/>
  <c r="Q52" i="32" s="1"/>
  <c r="AB53" i="32"/>
  <c r="R53" i="32" s="1"/>
  <c r="U53" i="32"/>
  <c r="AA53" i="32" s="1"/>
  <c r="Q53" i="32" s="1"/>
  <c r="AB54" i="32"/>
  <c r="R54" i="32" s="1"/>
  <c r="U54" i="32"/>
  <c r="AA54" i="32" s="1"/>
  <c r="Q54" i="32" s="1"/>
  <c r="AC58" i="32"/>
  <c r="S58" i="32" s="1"/>
  <c r="AC77" i="32"/>
  <c r="S77" i="32" s="1"/>
  <c r="I26" i="32"/>
  <c r="P29" i="32"/>
  <c r="P30" i="32"/>
  <c r="I31" i="32"/>
  <c r="V36" i="32"/>
  <c r="I36" i="32"/>
  <c r="W36" i="32"/>
  <c r="V40" i="32"/>
  <c r="I40" i="32"/>
  <c r="W40" i="32"/>
  <c r="W43" i="32"/>
  <c r="AC43" i="32" s="1"/>
  <c r="S43" i="32" s="1"/>
  <c r="W44" i="32"/>
  <c r="AC44" i="32" s="1"/>
  <c r="S44" i="32" s="1"/>
  <c r="W45" i="32"/>
  <c r="AC45" i="32" s="1"/>
  <c r="S45" i="32" s="1"/>
  <c r="AA46" i="32"/>
  <c r="Q46" i="32" s="1"/>
  <c r="W47" i="32"/>
  <c r="AC47" i="32" s="1"/>
  <c r="S47" i="32" s="1"/>
  <c r="AC48" i="32"/>
  <c r="S48" i="32" s="1"/>
  <c r="W49" i="32"/>
  <c r="AC49" i="32" s="1"/>
  <c r="S49" i="32" s="1"/>
  <c r="W50" i="32"/>
  <c r="AC50" i="32" s="1"/>
  <c r="S50" i="32" s="1"/>
  <c r="W51" i="32"/>
  <c r="AC51" i="32" s="1"/>
  <c r="S51" i="32" s="1"/>
  <c r="W52" i="32"/>
  <c r="AC52" i="32" s="1"/>
  <c r="S52" i="32" s="1"/>
  <c r="W53" i="32"/>
  <c r="AC53" i="32" s="1"/>
  <c r="S53" i="32" s="1"/>
  <c r="W54" i="32"/>
  <c r="AC54" i="32" s="1"/>
  <c r="S54" i="32" s="1"/>
  <c r="AC55" i="32"/>
  <c r="S55" i="32" s="1"/>
  <c r="AB61" i="32"/>
  <c r="R61" i="32" s="1"/>
  <c r="U61" i="32"/>
  <c r="AA61" i="32" s="1"/>
  <c r="Q61" i="32" s="1"/>
  <c r="V62" i="32"/>
  <c r="I62" i="32"/>
  <c r="W62" i="32"/>
  <c r="U32" i="32"/>
  <c r="W33" i="32"/>
  <c r="U34" i="32"/>
  <c r="W46" i="32"/>
  <c r="AC46" i="32" s="1"/>
  <c r="S46" i="32" s="1"/>
  <c r="U48" i="32"/>
  <c r="AA48" i="32" s="1"/>
  <c r="Q48" i="32" s="1"/>
  <c r="U55" i="32"/>
  <c r="AA55" i="32" s="1"/>
  <c r="Q55" i="32" s="1"/>
  <c r="W57" i="32"/>
  <c r="U58" i="32"/>
  <c r="AA58" i="32" s="1"/>
  <c r="Q58" i="32" s="1"/>
  <c r="W60" i="32"/>
  <c r="AC60" i="32" s="1"/>
  <c r="S60" i="32" s="1"/>
  <c r="U77" i="32"/>
  <c r="AA77" i="32" s="1"/>
  <c r="Q77" i="32" s="1"/>
  <c r="G76" i="6"/>
  <c r="M75" i="2"/>
  <c r="F45" i="33" s="1"/>
  <c r="N75" i="2"/>
  <c r="D45" i="33" s="1"/>
  <c r="G95" i="6"/>
  <c r="I7" i="28"/>
  <c r="I9" i="28"/>
  <c r="Z24" i="32" l="1"/>
  <c r="AC24" i="32" s="1"/>
  <c r="S24" i="32" s="1"/>
  <c r="Y22" i="32"/>
  <c r="AB25" i="32"/>
  <c r="R25" i="32" s="1"/>
  <c r="K43" i="35"/>
  <c r="AB10" i="32"/>
  <c r="R10" i="32" s="1"/>
  <c r="J21" i="35"/>
  <c r="Q39" i="34"/>
  <c r="AB16" i="32"/>
  <c r="R16" i="32" s="1"/>
  <c r="Y24" i="32"/>
  <c r="AB24" i="32" s="1"/>
  <c r="R24" i="32" s="1"/>
  <c r="X20" i="32"/>
  <c r="AA20" i="32" s="1"/>
  <c r="Q20" i="32" s="1"/>
  <c r="Z57" i="32"/>
  <c r="AC57" i="32" s="1"/>
  <c r="S57" i="32" s="1"/>
  <c r="X57" i="32"/>
  <c r="AA57" i="32" s="1"/>
  <c r="Q57" i="32" s="1"/>
  <c r="X29" i="32"/>
  <c r="AA29" i="32" s="1"/>
  <c r="Q29" i="32" s="1"/>
  <c r="Z17" i="32"/>
  <c r="AC17" i="32" s="1"/>
  <c r="S17" i="32" s="1"/>
  <c r="AB13" i="32"/>
  <c r="R13" i="32" s="1"/>
  <c r="AB29" i="32"/>
  <c r="R29" i="32" s="1"/>
  <c r="AQ81" i="32"/>
  <c r="F34" i="33"/>
  <c r="Q8" i="34"/>
  <c r="J12" i="35"/>
  <c r="J13" i="35" s="1"/>
  <c r="J22" i="35" s="1"/>
  <c r="R39" i="34"/>
  <c r="Q20" i="34"/>
  <c r="R8" i="34"/>
  <c r="P20" i="34"/>
  <c r="P9" i="34" s="1"/>
  <c r="P1" i="34" s="1"/>
  <c r="F28" i="33"/>
  <c r="J15" i="33" s="1"/>
  <c r="U76" i="6"/>
  <c r="X25" i="32"/>
  <c r="AA25" i="32" s="1"/>
  <c r="Q25" i="32" s="1"/>
  <c r="AB30" i="32"/>
  <c r="R30" i="32" s="1"/>
  <c r="Y20" i="32"/>
  <c r="AB20" i="32" s="1"/>
  <c r="R20" i="32" s="1"/>
  <c r="X16" i="32"/>
  <c r="AA16" i="32" s="1"/>
  <c r="Q16" i="32" s="1"/>
  <c r="Z10" i="32"/>
  <c r="AC10" i="32" s="1"/>
  <c r="S10" i="32" s="1"/>
  <c r="Z22" i="32"/>
  <c r="AC22" i="32" s="1"/>
  <c r="S22" i="32" s="1"/>
  <c r="Z30" i="32"/>
  <c r="AC30" i="32" s="1"/>
  <c r="S30" i="32" s="1"/>
  <c r="Z25" i="32"/>
  <c r="AC25" i="32" s="1"/>
  <c r="S25" i="32" s="1"/>
  <c r="X10" i="32"/>
  <c r="AA10" i="32" s="1"/>
  <c r="Q10" i="32" s="1"/>
  <c r="AA30" i="32"/>
  <c r="Q30" i="32" s="1"/>
  <c r="Z29" i="32"/>
  <c r="AC29" i="32" s="1"/>
  <c r="S29" i="32" s="1"/>
  <c r="AB22" i="32"/>
  <c r="R22" i="32" s="1"/>
  <c r="Z16" i="32"/>
  <c r="AC16" i="32" s="1"/>
  <c r="S16" i="32" s="1"/>
  <c r="AB57" i="32"/>
  <c r="R57" i="32" s="1"/>
  <c r="AB17" i="32"/>
  <c r="R17" i="32" s="1"/>
  <c r="Y34" i="32"/>
  <c r="AB34" i="32" s="1"/>
  <c r="R34" i="32" s="1"/>
  <c r="X34" i="32"/>
  <c r="AA34" i="32" s="1"/>
  <c r="Q34" i="32" s="1"/>
  <c r="Z34" i="32"/>
  <c r="AC34" i="32" s="1"/>
  <c r="S34" i="32" s="1"/>
  <c r="Z13" i="32"/>
  <c r="AC13" i="32" s="1"/>
  <c r="S13" i="32" s="1"/>
  <c r="X17" i="32"/>
  <c r="AA17" i="32" s="1"/>
  <c r="Q17" i="32" s="1"/>
  <c r="Y33" i="32"/>
  <c r="AB33" i="32" s="1"/>
  <c r="R33" i="32" s="1"/>
  <c r="X33" i="32"/>
  <c r="AA33" i="32" s="1"/>
  <c r="Q33" i="32" s="1"/>
  <c r="Y32" i="32"/>
  <c r="AB32" i="32" s="1"/>
  <c r="R32" i="32" s="1"/>
  <c r="X32" i="32"/>
  <c r="AA32" i="32" s="1"/>
  <c r="Q32" i="32" s="1"/>
  <c r="Z32" i="32"/>
  <c r="AC32" i="32" s="1"/>
  <c r="S32" i="32" s="1"/>
  <c r="X14" i="32"/>
  <c r="AA14" i="32" s="1"/>
  <c r="Q14" i="32" s="1"/>
  <c r="Y14" i="32"/>
  <c r="AB14" i="32" s="1"/>
  <c r="R14" i="32" s="1"/>
  <c r="X13" i="32"/>
  <c r="AA13" i="32" s="1"/>
  <c r="Q13" i="32" s="1"/>
  <c r="Z40" i="32"/>
  <c r="AC40" i="32" s="1"/>
  <c r="S40" i="32" s="1"/>
  <c r="X40" i="32"/>
  <c r="AA40" i="32" s="1"/>
  <c r="Q40" i="32" s="1"/>
  <c r="Y40" i="32"/>
  <c r="AB40" i="32" s="1"/>
  <c r="R40" i="32" s="1"/>
  <c r="Z26" i="32"/>
  <c r="AC26" i="32" s="1"/>
  <c r="S26" i="32" s="1"/>
  <c r="Y26" i="32"/>
  <c r="AB26" i="32" s="1"/>
  <c r="R26" i="32" s="1"/>
  <c r="X26" i="32"/>
  <c r="AA26" i="32" s="1"/>
  <c r="Q26" i="32" s="1"/>
  <c r="X35" i="32"/>
  <c r="AA35" i="32" s="1"/>
  <c r="Q35" i="32" s="1"/>
  <c r="Z35" i="32"/>
  <c r="AC35" i="32" s="1"/>
  <c r="S35" i="32" s="1"/>
  <c r="Y35" i="32"/>
  <c r="AB35" i="32" s="1"/>
  <c r="R35" i="32" s="1"/>
  <c r="Y15" i="32"/>
  <c r="AB15" i="32" s="1"/>
  <c r="R15" i="32" s="1"/>
  <c r="Z15" i="32"/>
  <c r="AC15" i="32" s="1"/>
  <c r="S15" i="32" s="1"/>
  <c r="X15" i="32"/>
  <c r="Z19" i="32"/>
  <c r="AC19" i="32" s="1"/>
  <c r="S19" i="32" s="1"/>
  <c r="X19" i="32"/>
  <c r="AA19" i="32" s="1"/>
  <c r="Q19" i="32" s="1"/>
  <c r="Y19" i="32"/>
  <c r="AB19" i="32" s="1"/>
  <c r="R19" i="32" s="1"/>
  <c r="Z11" i="32"/>
  <c r="AC11" i="32" s="1"/>
  <c r="S11" i="32" s="1"/>
  <c r="X11" i="32"/>
  <c r="AA11" i="32" s="1"/>
  <c r="Q11" i="32" s="1"/>
  <c r="Y11" i="32"/>
  <c r="U80" i="32"/>
  <c r="D15" i="33" s="1"/>
  <c r="Z36" i="32"/>
  <c r="AC36" i="32" s="1"/>
  <c r="S36" i="32" s="1"/>
  <c r="X36" i="32"/>
  <c r="AA36" i="32" s="1"/>
  <c r="Q36" i="32" s="1"/>
  <c r="Y36" i="32"/>
  <c r="AB36" i="32" s="1"/>
  <c r="R36" i="32" s="1"/>
  <c r="X37" i="32"/>
  <c r="AA37" i="32" s="1"/>
  <c r="Q37" i="32" s="1"/>
  <c r="Z37" i="32"/>
  <c r="AC37" i="32" s="1"/>
  <c r="S37" i="32" s="1"/>
  <c r="Y37" i="32"/>
  <c r="AB37" i="32" s="1"/>
  <c r="R37" i="32" s="1"/>
  <c r="X12" i="32"/>
  <c r="Z12" i="32"/>
  <c r="AC12" i="32" s="1"/>
  <c r="S12" i="32" s="1"/>
  <c r="Y12" i="32"/>
  <c r="AB12" i="32" s="1"/>
  <c r="R12" i="32" s="1"/>
  <c r="Z38" i="32"/>
  <c r="AC38" i="32" s="1"/>
  <c r="S38" i="32" s="1"/>
  <c r="X38" i="32"/>
  <c r="AA38" i="32" s="1"/>
  <c r="Q38" i="32" s="1"/>
  <c r="Y38" i="32"/>
  <c r="AB38" i="32" s="1"/>
  <c r="R38" i="32" s="1"/>
  <c r="X62" i="32"/>
  <c r="AA62" i="32" s="1"/>
  <c r="Q62" i="32" s="1"/>
  <c r="Z62" i="32"/>
  <c r="AC62" i="32" s="1"/>
  <c r="S62" i="32" s="1"/>
  <c r="Y62" i="32"/>
  <c r="AB62" i="32" s="1"/>
  <c r="R62" i="32" s="1"/>
  <c r="Y31" i="32"/>
  <c r="AB31" i="32" s="1"/>
  <c r="R31" i="32" s="1"/>
  <c r="Z31" i="32"/>
  <c r="AC31" i="32" s="1"/>
  <c r="S31" i="32" s="1"/>
  <c r="X31" i="32"/>
  <c r="AA31" i="32" s="1"/>
  <c r="Q31" i="32" s="1"/>
  <c r="X39" i="32"/>
  <c r="AA39" i="32" s="1"/>
  <c r="Q39" i="32" s="1"/>
  <c r="Z39" i="32"/>
  <c r="AC39" i="32" s="1"/>
  <c r="S39" i="32" s="1"/>
  <c r="Y39" i="32"/>
  <c r="AB39" i="32" s="1"/>
  <c r="R39" i="32" s="1"/>
  <c r="Y18" i="32"/>
  <c r="AB18" i="32" s="1"/>
  <c r="R18" i="32" s="1"/>
  <c r="Z18" i="32"/>
  <c r="AC18" i="32" s="1"/>
  <c r="S18" i="32" s="1"/>
  <c r="X18" i="32"/>
  <c r="AA18" i="32" s="1"/>
  <c r="Q18" i="32" s="1"/>
  <c r="Z23" i="32"/>
  <c r="AC23" i="32" s="1"/>
  <c r="S23" i="32" s="1"/>
  <c r="Y23" i="32"/>
  <c r="AB23" i="32" s="1"/>
  <c r="R23" i="32" s="1"/>
  <c r="X23" i="32"/>
  <c r="AA23" i="32" s="1"/>
  <c r="Q23" i="32" s="1"/>
  <c r="V80" i="32"/>
  <c r="Z21" i="32"/>
  <c r="AC21" i="32" s="1"/>
  <c r="S21" i="32" s="1"/>
  <c r="Y21" i="32"/>
  <c r="AB21" i="32" s="1"/>
  <c r="R21" i="32" s="1"/>
  <c r="X21" i="32"/>
  <c r="AA21" i="32" s="1"/>
  <c r="Q21" i="32" s="1"/>
  <c r="AC33" i="32"/>
  <c r="S33" i="32" s="1"/>
  <c r="AA12" i="32"/>
  <c r="Q12" i="32" s="1"/>
  <c r="W80" i="32"/>
  <c r="J22" i="28"/>
  <c r="L22" i="28" s="1"/>
  <c r="D28" i="28"/>
  <c r="D27" i="28" s="1"/>
  <c r="J16" i="28"/>
  <c r="J32" i="28"/>
  <c r="D89" i="18"/>
  <c r="C17" i="24" s="1"/>
  <c r="C8" i="24"/>
  <c r="C2" i="24"/>
  <c r="C3" i="35" s="1"/>
  <c r="D91" i="18"/>
  <c r="C19" i="24" s="1"/>
  <c r="D90" i="18"/>
  <c r="C18" i="24" s="1"/>
  <c r="D88" i="18"/>
  <c r="C16" i="24" s="1"/>
  <c r="AU79" i="1"/>
  <c r="AV79" i="1"/>
  <c r="AW79" i="1"/>
  <c r="AU81" i="1"/>
  <c r="AV81" i="1"/>
  <c r="AW81" i="1"/>
  <c r="L46" i="24"/>
  <c r="Q46" i="24"/>
  <c r="C26" i="24"/>
  <c r="B94" i="6"/>
  <c r="B93" i="6"/>
  <c r="B92" i="6"/>
  <c r="B91" i="6"/>
  <c r="B90" i="6"/>
  <c r="B89" i="6"/>
  <c r="B88" i="6"/>
  <c r="B87" i="6"/>
  <c r="B86" i="6"/>
  <c r="B85" i="6"/>
  <c r="B84" i="6"/>
  <c r="B83" i="6"/>
  <c r="B81" i="6"/>
  <c r="B80" i="6"/>
  <c r="B79" i="6"/>
  <c r="Q15" i="24"/>
  <c r="J23" i="35" l="1"/>
  <c r="J63" i="35" s="1"/>
  <c r="R2" i="34"/>
  <c r="G5" i="34"/>
  <c r="Q9" i="34"/>
  <c r="R20" i="34"/>
  <c r="R9" i="34" s="1"/>
  <c r="X80" i="32"/>
  <c r="I18" i="25"/>
  <c r="J18" i="25" s="1"/>
  <c r="Y80" i="32"/>
  <c r="AB80" i="32" s="1"/>
  <c r="R80" i="32" s="1"/>
  <c r="J1" i="32" s="1"/>
  <c r="AB11" i="32"/>
  <c r="R11" i="32" s="1"/>
  <c r="AA15" i="32"/>
  <c r="Q15" i="32" s="1"/>
  <c r="Z80" i="32"/>
  <c r="AC80" i="32" s="1"/>
  <c r="S80" i="32" s="1"/>
  <c r="L1" i="32" s="1"/>
  <c r="C27" i="24"/>
  <c r="C29" i="24"/>
  <c r="C31" i="24"/>
  <c r="C35" i="24"/>
  <c r="C24" i="24"/>
  <c r="C33" i="24"/>
  <c r="C37" i="24"/>
  <c r="C25" i="24"/>
  <c r="C30" i="24"/>
  <c r="C38" i="24"/>
  <c r="C28" i="24"/>
  <c r="C32" i="24"/>
  <c r="C36" i="24"/>
  <c r="C34" i="24"/>
  <c r="F28" i="28"/>
  <c r="B95" i="6"/>
  <c r="N15" i="24"/>
  <c r="P15" i="24" s="1"/>
  <c r="I17" i="25"/>
  <c r="J17" i="25" s="1"/>
  <c r="Q16" i="24"/>
  <c r="R16" i="24" s="1"/>
  <c r="R15" i="24"/>
  <c r="N16" i="24"/>
  <c r="P16" i="24" s="1"/>
  <c r="N14" i="24"/>
  <c r="P14" i="24" s="1"/>
  <c r="R46" i="24"/>
  <c r="C23" i="24"/>
  <c r="J55" i="25"/>
  <c r="K55" i="25" s="1"/>
  <c r="J54" i="25"/>
  <c r="K54" i="25" s="1"/>
  <c r="J57" i="25"/>
  <c r="K57" i="25" s="1"/>
  <c r="J56" i="25"/>
  <c r="K56" i="25" s="1"/>
  <c r="J48" i="25"/>
  <c r="K48" i="25" s="1"/>
  <c r="J50" i="25"/>
  <c r="K50" i="25" s="1"/>
  <c r="J51" i="25"/>
  <c r="K51" i="25" s="1"/>
  <c r="J52" i="25"/>
  <c r="K52" i="25" s="1"/>
  <c r="J53" i="25"/>
  <c r="K53" i="25" s="1"/>
  <c r="J30" i="25"/>
  <c r="K30" i="25" s="1"/>
  <c r="I19" i="25"/>
  <c r="J19" i="25" s="1"/>
  <c r="I20" i="25"/>
  <c r="J20" i="25" s="1"/>
  <c r="I11" i="25"/>
  <c r="I9" i="25"/>
  <c r="I8" i="25"/>
  <c r="I10" i="25" s="1"/>
  <c r="K3" i="25"/>
  <c r="C3" i="25"/>
  <c r="Q55" i="24"/>
  <c r="R55" i="24" s="1"/>
  <c r="L55" i="24"/>
  <c r="Q54" i="24"/>
  <c r="R54" i="24" s="1"/>
  <c r="L54" i="24"/>
  <c r="Q53" i="24"/>
  <c r="R53" i="24" s="1"/>
  <c r="L53" i="24"/>
  <c r="Q52" i="24"/>
  <c r="R52" i="24" s="1"/>
  <c r="L52" i="24"/>
  <c r="Q51" i="24"/>
  <c r="R51" i="24" s="1"/>
  <c r="L51" i="24"/>
  <c r="Q50" i="24"/>
  <c r="R50" i="24" s="1"/>
  <c r="L50" i="24"/>
  <c r="Q49" i="24"/>
  <c r="R49" i="24" s="1"/>
  <c r="L49" i="24"/>
  <c r="Q48" i="24"/>
  <c r="R48" i="24" s="1"/>
  <c r="L48" i="24"/>
  <c r="Q47" i="24"/>
  <c r="R47" i="24" s="1"/>
  <c r="L47" i="24"/>
  <c r="L45" i="24"/>
  <c r="Q44" i="24"/>
  <c r="R44" i="24" s="1"/>
  <c r="L44" i="24"/>
  <c r="L42" i="24"/>
  <c r="L41" i="24"/>
  <c r="P38" i="24"/>
  <c r="L38" i="24"/>
  <c r="P37" i="24"/>
  <c r="L37" i="24"/>
  <c r="P36" i="24"/>
  <c r="L36" i="24"/>
  <c r="P35" i="24"/>
  <c r="L35" i="24"/>
  <c r="P34" i="24"/>
  <c r="L34" i="24"/>
  <c r="P33" i="24"/>
  <c r="L33" i="24"/>
  <c r="P32" i="24"/>
  <c r="L32" i="24"/>
  <c r="P31" i="24"/>
  <c r="L31" i="24"/>
  <c r="P30" i="24"/>
  <c r="L30" i="24"/>
  <c r="P29" i="24"/>
  <c r="L29" i="24"/>
  <c r="P28" i="24"/>
  <c r="L28" i="24"/>
  <c r="L27" i="24"/>
  <c r="Q26" i="24"/>
  <c r="R26" i="24" s="1"/>
  <c r="P26" i="24"/>
  <c r="L26" i="24"/>
  <c r="P25" i="24"/>
  <c r="L25" i="24"/>
  <c r="P24" i="24"/>
  <c r="L24" i="24"/>
  <c r="P23" i="24"/>
  <c r="L23" i="24"/>
  <c r="L22" i="24"/>
  <c r="Q19" i="24"/>
  <c r="R19" i="24" s="1"/>
  <c r="N19" i="24"/>
  <c r="P19" i="24" s="1"/>
  <c r="Q18" i="24"/>
  <c r="R18" i="24" s="1"/>
  <c r="N18" i="24"/>
  <c r="P18" i="24" s="1"/>
  <c r="Q17" i="24"/>
  <c r="R17" i="24" s="1"/>
  <c r="N17" i="24"/>
  <c r="P17" i="24" s="1"/>
  <c r="Q14" i="24"/>
  <c r="R14" i="24" s="1"/>
  <c r="L13" i="24"/>
  <c r="C10" i="24"/>
  <c r="P8" i="24" s="1"/>
  <c r="R1" i="24"/>
  <c r="Q1" i="24"/>
  <c r="C22" i="24" l="1"/>
  <c r="AA80" i="32"/>
  <c r="Q80" i="32" s="1"/>
  <c r="H1" i="32" s="1"/>
  <c r="D16" i="33"/>
  <c r="D17" i="33" s="1"/>
  <c r="J27" i="33" s="1"/>
  <c r="F5" i="34"/>
  <c r="Q29" i="24"/>
  <c r="R29" i="24" s="1"/>
  <c r="J33" i="25"/>
  <c r="K33" i="25" s="1"/>
  <c r="J34" i="25"/>
  <c r="K34" i="25" s="1"/>
  <c r="J28" i="25"/>
  <c r="K28" i="25" s="1"/>
  <c r="Q27" i="24"/>
  <c r="R27" i="24" s="1"/>
  <c r="J31" i="25"/>
  <c r="K31" i="25" s="1"/>
  <c r="Q25" i="24"/>
  <c r="R25" i="24" s="1"/>
  <c r="J36" i="25"/>
  <c r="K36" i="25" s="1"/>
  <c r="Q37" i="24"/>
  <c r="R37" i="24" s="1"/>
  <c r="Q35" i="24"/>
  <c r="R35" i="24" s="1"/>
  <c r="Q32" i="24"/>
  <c r="R32" i="24" s="1"/>
  <c r="J39" i="25"/>
  <c r="K39" i="25" s="1"/>
  <c r="Q34" i="24"/>
  <c r="R34" i="24" s="1"/>
  <c r="J38" i="25"/>
  <c r="K38" i="25" s="1"/>
  <c r="Q30" i="24"/>
  <c r="R30" i="24" s="1"/>
  <c r="Q28" i="24"/>
  <c r="R28" i="24" s="1"/>
  <c r="J41" i="25"/>
  <c r="K41" i="25" s="1"/>
  <c r="J32" i="25"/>
  <c r="K32" i="25" s="1"/>
  <c r="Q36" i="24"/>
  <c r="R36" i="24" s="1"/>
  <c r="Q24" i="24"/>
  <c r="R24" i="24" s="1"/>
  <c r="Q31" i="24"/>
  <c r="R31" i="24" s="1"/>
  <c r="J40" i="25"/>
  <c r="K40" i="25" s="1"/>
  <c r="J35" i="25"/>
  <c r="K35" i="25" s="1"/>
  <c r="Q38" i="24"/>
  <c r="R38" i="24" s="1"/>
  <c r="J42" i="25"/>
  <c r="K42" i="25" s="1"/>
  <c r="J27" i="25"/>
  <c r="K27" i="25" s="1"/>
  <c r="Q33" i="24"/>
  <c r="R33" i="24" s="1"/>
  <c r="J37" i="25"/>
  <c r="K37" i="25" s="1"/>
  <c r="J29" i="25"/>
  <c r="K29" i="25" s="1"/>
  <c r="J15" i="28"/>
  <c r="Q23" i="24"/>
  <c r="R23" i="24" s="1"/>
  <c r="J12" i="25"/>
  <c r="J13" i="25" s="1"/>
  <c r="J22" i="25" s="1"/>
  <c r="P20" i="24"/>
  <c r="P9" i="24" s="1"/>
  <c r="P1" i="24" s="1"/>
  <c r="R2" i="24" s="1"/>
  <c r="J21" i="25"/>
  <c r="Q8" i="24"/>
  <c r="Q20" i="24" s="1"/>
  <c r="R39" i="24" l="1"/>
  <c r="K43" i="25"/>
  <c r="Q39" i="24"/>
  <c r="J23" i="25"/>
  <c r="J63" i="25" s="1"/>
  <c r="G5" i="24"/>
  <c r="F5" i="24" s="1"/>
  <c r="R8" i="24"/>
  <c r="Q9" i="24" l="1"/>
  <c r="R20" i="24"/>
  <c r="R9" i="24" l="1"/>
  <c r="I12" i="19" l="1"/>
  <c r="I13" i="19"/>
  <c r="I14" i="19"/>
  <c r="I15" i="19"/>
  <c r="I16" i="19"/>
  <c r="I17" i="19"/>
  <c r="I18" i="19"/>
  <c r="I19" i="19"/>
  <c r="I20" i="19"/>
  <c r="I21" i="19"/>
  <c r="I24" i="19"/>
  <c r="I25" i="19"/>
  <c r="I26" i="19"/>
  <c r="I27" i="19"/>
  <c r="I28" i="19"/>
  <c r="I29" i="19"/>
  <c r="I30" i="19"/>
  <c r="I31" i="19"/>
  <c r="I33" i="19"/>
  <c r="I34" i="19"/>
  <c r="I35" i="19"/>
  <c r="I36" i="19"/>
  <c r="I37" i="19"/>
  <c r="I38" i="19"/>
  <c r="I39" i="19"/>
  <c r="I40" i="19"/>
  <c r="I41" i="19"/>
  <c r="I42" i="19"/>
  <c r="I43" i="19"/>
  <c r="I44" i="19"/>
  <c r="I45" i="19"/>
  <c r="I46" i="19"/>
  <c r="I47" i="19"/>
  <c r="I48" i="19"/>
  <c r="I49" i="19"/>
  <c r="I50" i="19"/>
  <c r="I51" i="19"/>
  <c r="I52" i="19"/>
  <c r="I53" i="19"/>
  <c r="I54" i="19"/>
  <c r="I55" i="19"/>
  <c r="I56" i="19"/>
  <c r="I57" i="19"/>
  <c r="I58" i="19"/>
  <c r="I59" i="19"/>
  <c r="I60" i="19"/>
  <c r="I61" i="19"/>
  <c r="I62" i="19"/>
  <c r="I63" i="19"/>
  <c r="I64" i="19"/>
  <c r="I65" i="19"/>
  <c r="I66" i="19"/>
  <c r="I67" i="19"/>
  <c r="I68" i="19"/>
  <c r="I69" i="19"/>
  <c r="I70" i="19"/>
  <c r="I72" i="19"/>
  <c r="I73" i="19"/>
  <c r="I74" i="19"/>
  <c r="I75" i="19"/>
  <c r="I76" i="19"/>
  <c r="I77" i="19"/>
  <c r="F44" i="18"/>
  <c r="V44" i="18" s="1"/>
  <c r="F17" i="1"/>
  <c r="N17" i="1" s="1"/>
  <c r="F18" i="1"/>
  <c r="N18" i="1" s="1"/>
  <c r="D20" i="19"/>
  <c r="T20" i="19" s="1"/>
  <c r="J20" i="19" s="1"/>
  <c r="H20" i="19"/>
  <c r="U20" i="19"/>
  <c r="K20" i="19" s="1"/>
  <c r="N20" i="19"/>
  <c r="O20" i="19"/>
  <c r="P20" i="19"/>
  <c r="Q20" i="19"/>
  <c r="R20" i="19"/>
  <c r="O11" i="19"/>
  <c r="P11" i="19"/>
  <c r="I11" i="19" s="1"/>
  <c r="Q11" i="19"/>
  <c r="R11" i="19"/>
  <c r="O12" i="19"/>
  <c r="P12" i="19"/>
  <c r="Q12" i="19"/>
  <c r="R12" i="19"/>
  <c r="O13" i="19"/>
  <c r="P13" i="19"/>
  <c r="Q13" i="19"/>
  <c r="R13" i="19"/>
  <c r="O14" i="19"/>
  <c r="P14" i="19"/>
  <c r="Q14" i="19"/>
  <c r="R14" i="19"/>
  <c r="O15" i="19"/>
  <c r="P15" i="19"/>
  <c r="Q15" i="19"/>
  <c r="R15" i="19"/>
  <c r="O16" i="19"/>
  <c r="P16" i="19"/>
  <c r="Q16" i="19"/>
  <c r="R16" i="19"/>
  <c r="O17" i="19"/>
  <c r="P17" i="19"/>
  <c r="Q17" i="19"/>
  <c r="R17" i="19"/>
  <c r="O18" i="19"/>
  <c r="P18" i="19"/>
  <c r="Q18" i="19"/>
  <c r="R18" i="19"/>
  <c r="O19" i="19"/>
  <c r="P19" i="19"/>
  <c r="Q19" i="19"/>
  <c r="R19" i="19"/>
  <c r="O21" i="19"/>
  <c r="P21" i="19"/>
  <c r="Q21" i="19"/>
  <c r="R21" i="19"/>
  <c r="O22" i="19"/>
  <c r="P22" i="19"/>
  <c r="I22" i="19" s="1"/>
  <c r="Q22" i="19"/>
  <c r="R22" i="19"/>
  <c r="O23" i="19"/>
  <c r="P23" i="19"/>
  <c r="Q23" i="19"/>
  <c r="R23" i="19"/>
  <c r="O24" i="19"/>
  <c r="P24" i="19"/>
  <c r="Q24" i="19"/>
  <c r="R24" i="19"/>
  <c r="O25" i="19"/>
  <c r="P25" i="19"/>
  <c r="Q25" i="19"/>
  <c r="R25" i="19"/>
  <c r="O26" i="19"/>
  <c r="P26" i="19"/>
  <c r="Q26" i="19"/>
  <c r="R26" i="19"/>
  <c r="O27" i="19"/>
  <c r="P27" i="19"/>
  <c r="Q27" i="19"/>
  <c r="R27" i="19"/>
  <c r="O28" i="19"/>
  <c r="P28" i="19"/>
  <c r="Q28" i="19"/>
  <c r="R28" i="19"/>
  <c r="O29" i="19"/>
  <c r="P29" i="19"/>
  <c r="Q29" i="19"/>
  <c r="R29" i="19"/>
  <c r="O30" i="19"/>
  <c r="P30" i="19"/>
  <c r="Q30" i="19"/>
  <c r="R30" i="19"/>
  <c r="O31" i="19"/>
  <c r="P31" i="19"/>
  <c r="Q31" i="19"/>
  <c r="R31" i="19"/>
  <c r="O32" i="19"/>
  <c r="P32" i="19"/>
  <c r="Q32" i="19"/>
  <c r="R32" i="19"/>
  <c r="O33" i="19"/>
  <c r="P33" i="19"/>
  <c r="Q33" i="19"/>
  <c r="R33" i="19"/>
  <c r="O34" i="19"/>
  <c r="P34" i="19"/>
  <c r="Q34" i="19"/>
  <c r="R34" i="19"/>
  <c r="O35" i="19"/>
  <c r="P35" i="19"/>
  <c r="Q35" i="19"/>
  <c r="R35" i="19"/>
  <c r="O36" i="19"/>
  <c r="P36" i="19"/>
  <c r="Q36" i="19"/>
  <c r="R36" i="19"/>
  <c r="O37" i="19"/>
  <c r="P37" i="19"/>
  <c r="Q37" i="19"/>
  <c r="R37" i="19"/>
  <c r="O38" i="19"/>
  <c r="P38" i="19"/>
  <c r="Q38" i="19"/>
  <c r="R38" i="19"/>
  <c r="O39" i="19"/>
  <c r="P39" i="19"/>
  <c r="Q39" i="19"/>
  <c r="R39" i="19"/>
  <c r="O40" i="19"/>
  <c r="P40" i="19"/>
  <c r="Q40" i="19"/>
  <c r="R40" i="19"/>
  <c r="O41" i="19"/>
  <c r="P41" i="19"/>
  <c r="Q41" i="19"/>
  <c r="R41" i="19"/>
  <c r="O42" i="19"/>
  <c r="P42" i="19"/>
  <c r="Q42" i="19"/>
  <c r="R42" i="19"/>
  <c r="O43" i="19"/>
  <c r="P43" i="19"/>
  <c r="Q43" i="19"/>
  <c r="R43" i="19"/>
  <c r="O44" i="19"/>
  <c r="P44" i="19"/>
  <c r="Q44" i="19"/>
  <c r="R44" i="19"/>
  <c r="O45" i="19"/>
  <c r="P45" i="19"/>
  <c r="Q45" i="19"/>
  <c r="R45" i="19"/>
  <c r="O46" i="19"/>
  <c r="P46" i="19"/>
  <c r="Q46" i="19"/>
  <c r="R46" i="19"/>
  <c r="O47" i="19"/>
  <c r="P47" i="19"/>
  <c r="Q47" i="19"/>
  <c r="R47" i="19"/>
  <c r="O48" i="19"/>
  <c r="P48" i="19"/>
  <c r="Q48" i="19"/>
  <c r="R48" i="19"/>
  <c r="O49" i="19"/>
  <c r="P49" i="19"/>
  <c r="Q49" i="19"/>
  <c r="R49" i="19"/>
  <c r="O50" i="19"/>
  <c r="P50" i="19"/>
  <c r="Q50" i="19"/>
  <c r="R50" i="19"/>
  <c r="O51" i="19"/>
  <c r="P51" i="19"/>
  <c r="Q51" i="19"/>
  <c r="R51" i="19"/>
  <c r="O52" i="19"/>
  <c r="P52" i="19"/>
  <c r="Q52" i="19"/>
  <c r="R52" i="19"/>
  <c r="O53" i="19"/>
  <c r="P53" i="19"/>
  <c r="Q53" i="19"/>
  <c r="R53" i="19"/>
  <c r="O54" i="19"/>
  <c r="P54" i="19"/>
  <c r="Q54" i="19"/>
  <c r="R54" i="19"/>
  <c r="O55" i="19"/>
  <c r="P55" i="19"/>
  <c r="Q55" i="19"/>
  <c r="R55" i="19"/>
  <c r="O56" i="19"/>
  <c r="P56" i="19"/>
  <c r="Q56" i="19"/>
  <c r="R56" i="19"/>
  <c r="O57" i="19"/>
  <c r="P57" i="19"/>
  <c r="Q57" i="19"/>
  <c r="R57" i="19"/>
  <c r="O58" i="19"/>
  <c r="P58" i="19"/>
  <c r="Q58" i="19"/>
  <c r="R58" i="19"/>
  <c r="O59" i="19"/>
  <c r="P59" i="19"/>
  <c r="Q59" i="19"/>
  <c r="R59" i="19"/>
  <c r="O60" i="19"/>
  <c r="P60" i="19"/>
  <c r="Q60" i="19"/>
  <c r="R60" i="19"/>
  <c r="O61" i="19"/>
  <c r="P61" i="19"/>
  <c r="Q61" i="19"/>
  <c r="R61" i="19"/>
  <c r="O62" i="19"/>
  <c r="P62" i="19"/>
  <c r="Q62" i="19"/>
  <c r="R62" i="19"/>
  <c r="O63" i="19"/>
  <c r="P63" i="19"/>
  <c r="Q63" i="19"/>
  <c r="R63" i="19"/>
  <c r="O64" i="19"/>
  <c r="P64" i="19"/>
  <c r="Q64" i="19"/>
  <c r="R64" i="19"/>
  <c r="O65" i="19"/>
  <c r="P65" i="19"/>
  <c r="Q65" i="19"/>
  <c r="R65" i="19"/>
  <c r="O66" i="19"/>
  <c r="P66" i="19"/>
  <c r="Q66" i="19"/>
  <c r="R66" i="19"/>
  <c r="O67" i="19"/>
  <c r="P67" i="19"/>
  <c r="Q67" i="19"/>
  <c r="R67" i="19"/>
  <c r="O68" i="19"/>
  <c r="P68" i="19"/>
  <c r="Q68" i="19"/>
  <c r="R68" i="19"/>
  <c r="O69" i="19"/>
  <c r="P69" i="19"/>
  <c r="Q69" i="19"/>
  <c r="R69" i="19"/>
  <c r="O70" i="19"/>
  <c r="P70" i="19"/>
  <c r="Q70" i="19"/>
  <c r="R70" i="19"/>
  <c r="O71" i="19"/>
  <c r="P71" i="19"/>
  <c r="I71" i="19" s="1"/>
  <c r="Q71" i="19"/>
  <c r="R71" i="19"/>
  <c r="O72" i="19"/>
  <c r="P72" i="19"/>
  <c r="Q72" i="19"/>
  <c r="R72" i="19"/>
  <c r="O73" i="19"/>
  <c r="P73" i="19"/>
  <c r="Q73" i="19"/>
  <c r="R73" i="19"/>
  <c r="O74" i="19"/>
  <c r="P74" i="19"/>
  <c r="Q74" i="19"/>
  <c r="R74" i="19"/>
  <c r="O75" i="19"/>
  <c r="P75" i="19"/>
  <c r="Q75" i="19"/>
  <c r="R75" i="19"/>
  <c r="O76" i="19"/>
  <c r="P76" i="19"/>
  <c r="Q76" i="19"/>
  <c r="R76" i="19"/>
  <c r="O77" i="19"/>
  <c r="P77" i="19"/>
  <c r="Q77" i="19"/>
  <c r="R77" i="19"/>
  <c r="O78" i="19"/>
  <c r="P78" i="19"/>
  <c r="I78" i="19" s="1"/>
  <c r="Q78" i="19"/>
  <c r="R78" i="19"/>
  <c r="O10" i="19"/>
  <c r="P10" i="19"/>
  <c r="I10" i="19" s="1"/>
  <c r="Q10" i="19"/>
  <c r="R10" i="19"/>
  <c r="N11" i="19"/>
  <c r="N12" i="19"/>
  <c r="N13" i="19"/>
  <c r="N14" i="19"/>
  <c r="N15" i="19"/>
  <c r="N16" i="19"/>
  <c r="N17" i="19"/>
  <c r="N18" i="19"/>
  <c r="N19" i="19"/>
  <c r="N21" i="19"/>
  <c r="N22" i="19"/>
  <c r="N23" i="19"/>
  <c r="N24" i="19"/>
  <c r="N25" i="19"/>
  <c r="N26" i="19"/>
  <c r="N27" i="19"/>
  <c r="N28" i="19"/>
  <c r="N29" i="19"/>
  <c r="N30" i="19"/>
  <c r="N31" i="19"/>
  <c r="N32" i="19"/>
  <c r="N33" i="19"/>
  <c r="N34" i="19"/>
  <c r="N35" i="19"/>
  <c r="N36" i="19"/>
  <c r="N37" i="19"/>
  <c r="N38" i="19"/>
  <c r="N39" i="19"/>
  <c r="N40" i="19"/>
  <c r="N41" i="19"/>
  <c r="N42" i="19"/>
  <c r="N43" i="19"/>
  <c r="N44" i="19"/>
  <c r="N45" i="19"/>
  <c r="N46" i="19"/>
  <c r="N47" i="19"/>
  <c r="N48" i="19"/>
  <c r="N49" i="19"/>
  <c r="N50" i="19"/>
  <c r="N51" i="19"/>
  <c r="N52" i="19"/>
  <c r="N53" i="19"/>
  <c r="N54" i="19"/>
  <c r="N55" i="19"/>
  <c r="N56" i="19"/>
  <c r="N57" i="19"/>
  <c r="N58" i="19"/>
  <c r="N59" i="19"/>
  <c r="N60" i="19"/>
  <c r="N61" i="19"/>
  <c r="N62" i="19"/>
  <c r="N63" i="19"/>
  <c r="N64" i="19"/>
  <c r="N65" i="19"/>
  <c r="N66" i="19"/>
  <c r="N67" i="19"/>
  <c r="N68" i="19"/>
  <c r="N69" i="19"/>
  <c r="N70" i="19"/>
  <c r="N71" i="19"/>
  <c r="N72" i="19"/>
  <c r="N73" i="19"/>
  <c r="N74" i="19"/>
  <c r="N75" i="19"/>
  <c r="N76" i="19"/>
  <c r="N77" i="19"/>
  <c r="N78" i="19"/>
  <c r="N10" i="19"/>
  <c r="P6" i="6"/>
  <c r="B42" i="6"/>
  <c r="B72" i="6" s="1"/>
  <c r="T73" i="6"/>
  <c r="D47" i="33" s="1"/>
  <c r="B54" i="6"/>
  <c r="B73" i="6" s="1"/>
  <c r="B60" i="6"/>
  <c r="B74" i="6" s="1"/>
  <c r="B65" i="6"/>
  <c r="B75" i="6" s="1"/>
  <c r="J6" i="2"/>
  <c r="K6" i="2"/>
  <c r="L6" i="2"/>
  <c r="J7" i="2"/>
  <c r="K7" i="2"/>
  <c r="L7" i="2"/>
  <c r="J8" i="2"/>
  <c r="K8" i="2"/>
  <c r="L8" i="2"/>
  <c r="J9" i="2"/>
  <c r="K9" i="2"/>
  <c r="L9" i="2"/>
  <c r="J10" i="2"/>
  <c r="K10" i="2"/>
  <c r="L10" i="2"/>
  <c r="J11" i="2"/>
  <c r="K11" i="2"/>
  <c r="L11" i="2"/>
  <c r="J12" i="2"/>
  <c r="K12" i="2"/>
  <c r="L12" i="2"/>
  <c r="J13" i="2"/>
  <c r="K13" i="2"/>
  <c r="L13" i="2"/>
  <c r="J14" i="2"/>
  <c r="K14" i="2"/>
  <c r="L14" i="2"/>
  <c r="J15" i="2"/>
  <c r="K15" i="2"/>
  <c r="L15" i="2"/>
  <c r="J16" i="2"/>
  <c r="K16" i="2"/>
  <c r="L16" i="2"/>
  <c r="J17" i="2"/>
  <c r="K17" i="2"/>
  <c r="L17" i="2"/>
  <c r="J18" i="2"/>
  <c r="K18" i="2"/>
  <c r="L18" i="2"/>
  <c r="J19" i="2"/>
  <c r="K19" i="2"/>
  <c r="L19" i="2"/>
  <c r="J20" i="2"/>
  <c r="K20" i="2"/>
  <c r="L20" i="2"/>
  <c r="J21" i="2"/>
  <c r="K21" i="2"/>
  <c r="L21" i="2"/>
  <c r="D2" i="19"/>
  <c r="D4" i="19"/>
  <c r="D10" i="19"/>
  <c r="T10" i="19" s="1"/>
  <c r="J10" i="19" s="1"/>
  <c r="H10" i="19"/>
  <c r="U10" i="19"/>
  <c r="K10" i="19" s="1"/>
  <c r="D11" i="19"/>
  <c r="T11" i="19" s="1"/>
  <c r="J11" i="19" s="1"/>
  <c r="H11" i="19"/>
  <c r="U11" i="19"/>
  <c r="K11" i="19" s="1"/>
  <c r="D12" i="19"/>
  <c r="T12" i="19" s="1"/>
  <c r="J12" i="19" s="1"/>
  <c r="H12" i="19"/>
  <c r="U12" i="19"/>
  <c r="K12" i="19" s="1"/>
  <c r="D13" i="19"/>
  <c r="T13" i="19" s="1"/>
  <c r="J13" i="19" s="1"/>
  <c r="H13" i="19"/>
  <c r="U13" i="19"/>
  <c r="K13" i="19" s="1"/>
  <c r="T14" i="19"/>
  <c r="J14" i="19" s="1"/>
  <c r="H14" i="19"/>
  <c r="U14" i="19"/>
  <c r="K14" i="19" s="1"/>
  <c r="D15" i="19"/>
  <c r="T15" i="19" s="1"/>
  <c r="J15" i="19" s="1"/>
  <c r="H15" i="19"/>
  <c r="U15" i="19"/>
  <c r="K15" i="19" s="1"/>
  <c r="D16" i="19"/>
  <c r="T16" i="19" s="1"/>
  <c r="J16" i="19" s="1"/>
  <c r="H16" i="19"/>
  <c r="U16" i="19"/>
  <c r="K16" i="19" s="1"/>
  <c r="D17" i="19"/>
  <c r="T17" i="19" s="1"/>
  <c r="J17" i="19" s="1"/>
  <c r="H17" i="19"/>
  <c r="U17" i="19"/>
  <c r="K17" i="19" s="1"/>
  <c r="D18" i="19"/>
  <c r="T18" i="19" s="1"/>
  <c r="J18" i="19" s="1"/>
  <c r="H18" i="19"/>
  <c r="U18" i="19"/>
  <c r="K18" i="19" s="1"/>
  <c r="D19" i="19"/>
  <c r="T19" i="19" s="1"/>
  <c r="J19" i="19" s="1"/>
  <c r="H19" i="19"/>
  <c r="U19" i="19"/>
  <c r="K19" i="19" s="1"/>
  <c r="D21" i="19"/>
  <c r="T21" i="19" s="1"/>
  <c r="J21" i="19" s="1"/>
  <c r="H21" i="19"/>
  <c r="U21" i="19"/>
  <c r="K21" i="19" s="1"/>
  <c r="D22" i="19"/>
  <c r="T22" i="19" s="1"/>
  <c r="J22" i="19" s="1"/>
  <c r="H22" i="19"/>
  <c r="U22" i="19"/>
  <c r="K22" i="19" s="1"/>
  <c r="D23" i="19"/>
  <c r="U23" i="19"/>
  <c r="K23" i="19" s="1"/>
  <c r="D24" i="19"/>
  <c r="T24" i="19" s="1"/>
  <c r="J24" i="19" s="1"/>
  <c r="H24" i="19"/>
  <c r="U24" i="19"/>
  <c r="K24" i="19" s="1"/>
  <c r="D25" i="19"/>
  <c r="T25" i="19" s="1"/>
  <c r="J25" i="19" s="1"/>
  <c r="H25" i="19"/>
  <c r="U25" i="19"/>
  <c r="K25" i="19" s="1"/>
  <c r="D26" i="19"/>
  <c r="T26" i="19" s="1"/>
  <c r="J26" i="19" s="1"/>
  <c r="H26" i="19"/>
  <c r="U26" i="19"/>
  <c r="K26" i="19" s="1"/>
  <c r="D27" i="19"/>
  <c r="T27" i="19" s="1"/>
  <c r="J27" i="19" s="1"/>
  <c r="H27" i="19"/>
  <c r="U27" i="19"/>
  <c r="K27" i="19" s="1"/>
  <c r="D28" i="19"/>
  <c r="T28" i="19" s="1"/>
  <c r="J28" i="19" s="1"/>
  <c r="H28" i="19"/>
  <c r="U28" i="19"/>
  <c r="K28" i="19" s="1"/>
  <c r="D29" i="19"/>
  <c r="T29" i="19" s="1"/>
  <c r="J29" i="19" s="1"/>
  <c r="H29" i="19"/>
  <c r="U29" i="19"/>
  <c r="K29" i="19" s="1"/>
  <c r="D30" i="19"/>
  <c r="T30" i="19" s="1"/>
  <c r="J30" i="19" s="1"/>
  <c r="H30" i="19"/>
  <c r="U30" i="19"/>
  <c r="K30" i="19" s="1"/>
  <c r="D31" i="19"/>
  <c r="T31" i="19" s="1"/>
  <c r="J31" i="19" s="1"/>
  <c r="H31" i="19"/>
  <c r="U31" i="19"/>
  <c r="K31" i="19" s="1"/>
  <c r="D32" i="19"/>
  <c r="U32" i="19"/>
  <c r="K32" i="19" s="1"/>
  <c r="D33" i="19"/>
  <c r="T33" i="19" s="1"/>
  <c r="J33" i="19" s="1"/>
  <c r="H33" i="19"/>
  <c r="U33" i="19"/>
  <c r="K33" i="19" s="1"/>
  <c r="D34" i="19"/>
  <c r="T34" i="19" s="1"/>
  <c r="J34" i="19" s="1"/>
  <c r="H34" i="19"/>
  <c r="U34" i="19"/>
  <c r="K34" i="19" s="1"/>
  <c r="D35" i="19"/>
  <c r="T35" i="19" s="1"/>
  <c r="J35" i="19" s="1"/>
  <c r="H35" i="19"/>
  <c r="U35" i="19"/>
  <c r="K35" i="19" s="1"/>
  <c r="D36" i="19"/>
  <c r="T36" i="19" s="1"/>
  <c r="J36" i="19" s="1"/>
  <c r="H36" i="19"/>
  <c r="U36" i="19"/>
  <c r="K36" i="19" s="1"/>
  <c r="D37" i="19"/>
  <c r="T37" i="19" s="1"/>
  <c r="J37" i="19" s="1"/>
  <c r="H37" i="19"/>
  <c r="U37" i="19"/>
  <c r="K37" i="19" s="1"/>
  <c r="D38" i="19"/>
  <c r="T38" i="19" s="1"/>
  <c r="J38" i="19" s="1"/>
  <c r="H38" i="19"/>
  <c r="U38" i="19"/>
  <c r="K38" i="19" s="1"/>
  <c r="D39" i="19"/>
  <c r="T39" i="19" s="1"/>
  <c r="J39" i="19" s="1"/>
  <c r="H39" i="19"/>
  <c r="U39" i="19"/>
  <c r="K39" i="19" s="1"/>
  <c r="D40" i="19"/>
  <c r="T40" i="19" s="1"/>
  <c r="J40" i="19" s="1"/>
  <c r="H40" i="19"/>
  <c r="U40" i="19"/>
  <c r="K40" i="19" s="1"/>
  <c r="D41" i="19"/>
  <c r="T41" i="19" s="1"/>
  <c r="J41" i="19" s="1"/>
  <c r="H41" i="19"/>
  <c r="U41" i="19"/>
  <c r="K41" i="19" s="1"/>
  <c r="D42" i="19"/>
  <c r="T42" i="19" s="1"/>
  <c r="J42" i="19" s="1"/>
  <c r="H42" i="19"/>
  <c r="U42" i="19"/>
  <c r="K42" i="19" s="1"/>
  <c r="D43" i="19"/>
  <c r="T43" i="19" s="1"/>
  <c r="J43" i="19" s="1"/>
  <c r="H43" i="19"/>
  <c r="U43" i="19"/>
  <c r="K43" i="19" s="1"/>
  <c r="D44" i="19"/>
  <c r="T44" i="19" s="1"/>
  <c r="J44" i="19" s="1"/>
  <c r="H44" i="19"/>
  <c r="U44" i="19"/>
  <c r="K44" i="19" s="1"/>
  <c r="D45" i="19"/>
  <c r="T45" i="19" s="1"/>
  <c r="J45" i="19" s="1"/>
  <c r="H45" i="19"/>
  <c r="U45" i="19"/>
  <c r="K45" i="19" s="1"/>
  <c r="D46" i="19"/>
  <c r="T46" i="19" s="1"/>
  <c r="J46" i="19" s="1"/>
  <c r="H46" i="19"/>
  <c r="U46" i="19"/>
  <c r="K46" i="19" s="1"/>
  <c r="D47" i="19"/>
  <c r="T47" i="19" s="1"/>
  <c r="J47" i="19" s="1"/>
  <c r="H47" i="19"/>
  <c r="U47" i="19"/>
  <c r="K47" i="19" s="1"/>
  <c r="D48" i="19"/>
  <c r="T48" i="19" s="1"/>
  <c r="J48" i="19" s="1"/>
  <c r="H48" i="19"/>
  <c r="U48" i="19"/>
  <c r="K48" i="19" s="1"/>
  <c r="D49" i="19"/>
  <c r="T49" i="19" s="1"/>
  <c r="J49" i="19" s="1"/>
  <c r="H49" i="19"/>
  <c r="U49" i="19"/>
  <c r="K49" i="19" s="1"/>
  <c r="D50" i="19"/>
  <c r="T50" i="19" s="1"/>
  <c r="J50" i="19" s="1"/>
  <c r="H50" i="19"/>
  <c r="U50" i="19"/>
  <c r="K50" i="19" s="1"/>
  <c r="D51" i="19"/>
  <c r="T51" i="19" s="1"/>
  <c r="J51" i="19" s="1"/>
  <c r="H51" i="19"/>
  <c r="U51" i="19"/>
  <c r="K51" i="19" s="1"/>
  <c r="D52" i="19"/>
  <c r="T52" i="19" s="1"/>
  <c r="J52" i="19" s="1"/>
  <c r="H52" i="19"/>
  <c r="U52" i="19"/>
  <c r="K52" i="19" s="1"/>
  <c r="D53" i="19"/>
  <c r="T53" i="19" s="1"/>
  <c r="J53" i="19" s="1"/>
  <c r="H53" i="19"/>
  <c r="U53" i="19"/>
  <c r="K53" i="19" s="1"/>
  <c r="D54" i="19"/>
  <c r="T54" i="19" s="1"/>
  <c r="J54" i="19" s="1"/>
  <c r="H54" i="19"/>
  <c r="U54" i="19"/>
  <c r="K54" i="19" s="1"/>
  <c r="D55" i="19"/>
  <c r="T55" i="19" s="1"/>
  <c r="J55" i="19" s="1"/>
  <c r="H55" i="19"/>
  <c r="U55" i="19"/>
  <c r="K55" i="19" s="1"/>
  <c r="D56" i="19"/>
  <c r="T56" i="19" s="1"/>
  <c r="J56" i="19" s="1"/>
  <c r="H56" i="19"/>
  <c r="U56" i="19"/>
  <c r="K56" i="19" s="1"/>
  <c r="D57" i="19"/>
  <c r="T57" i="19" s="1"/>
  <c r="J57" i="19" s="1"/>
  <c r="H57" i="19"/>
  <c r="U57" i="19"/>
  <c r="K57" i="19" s="1"/>
  <c r="D58" i="19"/>
  <c r="T58" i="19" s="1"/>
  <c r="J58" i="19" s="1"/>
  <c r="H58" i="19"/>
  <c r="U58" i="19"/>
  <c r="K58" i="19" s="1"/>
  <c r="D59" i="19"/>
  <c r="T59" i="19" s="1"/>
  <c r="J59" i="19" s="1"/>
  <c r="H59" i="19"/>
  <c r="U59" i="19"/>
  <c r="K59" i="19" s="1"/>
  <c r="D60" i="19"/>
  <c r="T60" i="19" s="1"/>
  <c r="J60" i="19" s="1"/>
  <c r="H60" i="19"/>
  <c r="U60" i="19"/>
  <c r="K60" i="19" s="1"/>
  <c r="D61" i="19"/>
  <c r="T61" i="19" s="1"/>
  <c r="J61" i="19" s="1"/>
  <c r="H61" i="19"/>
  <c r="U61" i="19"/>
  <c r="K61" i="19" s="1"/>
  <c r="D62" i="19"/>
  <c r="T62" i="19" s="1"/>
  <c r="J62" i="19" s="1"/>
  <c r="H62" i="19"/>
  <c r="U62" i="19"/>
  <c r="K62" i="19" s="1"/>
  <c r="D63" i="19"/>
  <c r="T63" i="19" s="1"/>
  <c r="J63" i="19" s="1"/>
  <c r="H63" i="19"/>
  <c r="U63" i="19"/>
  <c r="K63" i="19" s="1"/>
  <c r="D64" i="19"/>
  <c r="T64" i="19" s="1"/>
  <c r="J64" i="19" s="1"/>
  <c r="H64" i="19"/>
  <c r="U64" i="19"/>
  <c r="K64" i="19" s="1"/>
  <c r="D65" i="19"/>
  <c r="T65" i="19" s="1"/>
  <c r="J65" i="19" s="1"/>
  <c r="H65" i="19"/>
  <c r="U65" i="19"/>
  <c r="K65" i="19" s="1"/>
  <c r="D66" i="19"/>
  <c r="T66" i="19" s="1"/>
  <c r="J66" i="19" s="1"/>
  <c r="H66" i="19"/>
  <c r="U66" i="19"/>
  <c r="K66" i="19" s="1"/>
  <c r="D67" i="19"/>
  <c r="T67" i="19" s="1"/>
  <c r="J67" i="19" s="1"/>
  <c r="H67" i="19"/>
  <c r="U67" i="19"/>
  <c r="K67" i="19" s="1"/>
  <c r="D68" i="19"/>
  <c r="T68" i="19" s="1"/>
  <c r="J68" i="19" s="1"/>
  <c r="H68" i="19"/>
  <c r="U68" i="19"/>
  <c r="K68" i="19" s="1"/>
  <c r="D69" i="19"/>
  <c r="T69" i="19" s="1"/>
  <c r="J69" i="19" s="1"/>
  <c r="H69" i="19"/>
  <c r="U69" i="19"/>
  <c r="K69" i="19" s="1"/>
  <c r="D70" i="19"/>
  <c r="T70" i="19" s="1"/>
  <c r="J70" i="19" s="1"/>
  <c r="H70" i="19"/>
  <c r="U70" i="19"/>
  <c r="K70" i="19" s="1"/>
  <c r="D71" i="19"/>
  <c r="T71" i="19" s="1"/>
  <c r="J71" i="19" s="1"/>
  <c r="H71" i="19"/>
  <c r="U71" i="19"/>
  <c r="K71" i="19" s="1"/>
  <c r="D72" i="19"/>
  <c r="T72" i="19" s="1"/>
  <c r="J72" i="19" s="1"/>
  <c r="H72" i="19"/>
  <c r="U72" i="19"/>
  <c r="K72" i="19" s="1"/>
  <c r="D73" i="19"/>
  <c r="T73" i="19" s="1"/>
  <c r="J73" i="19" s="1"/>
  <c r="H73" i="19"/>
  <c r="U73" i="19"/>
  <c r="K73" i="19" s="1"/>
  <c r="D74" i="19"/>
  <c r="T74" i="19" s="1"/>
  <c r="J74" i="19" s="1"/>
  <c r="H74" i="19"/>
  <c r="U74" i="19"/>
  <c r="K74" i="19" s="1"/>
  <c r="D75" i="19"/>
  <c r="T75" i="19" s="1"/>
  <c r="J75" i="19" s="1"/>
  <c r="H75" i="19"/>
  <c r="U75" i="19"/>
  <c r="K75" i="19" s="1"/>
  <c r="D76" i="19"/>
  <c r="T76" i="19" s="1"/>
  <c r="J76" i="19" s="1"/>
  <c r="H76" i="19"/>
  <c r="U76" i="19"/>
  <c r="K76" i="19" s="1"/>
  <c r="D77" i="19"/>
  <c r="T77" i="19" s="1"/>
  <c r="J77" i="19" s="1"/>
  <c r="H77" i="19"/>
  <c r="U77" i="19"/>
  <c r="K77" i="19" s="1"/>
  <c r="D78" i="19"/>
  <c r="T78" i="19" s="1"/>
  <c r="J78" i="19" s="1"/>
  <c r="H78" i="19"/>
  <c r="U78" i="19"/>
  <c r="K78" i="19" s="1"/>
  <c r="D79" i="19"/>
  <c r="G2" i="18"/>
  <c r="G3" i="18"/>
  <c r="F10" i="18"/>
  <c r="N10" i="18" s="1"/>
  <c r="O10" i="18"/>
  <c r="AS10" i="18"/>
  <c r="F11" i="18"/>
  <c r="N11" i="18" s="1"/>
  <c r="K11" i="18"/>
  <c r="O11" i="18"/>
  <c r="AS11" i="18"/>
  <c r="F12" i="18"/>
  <c r="N12" i="18" s="1"/>
  <c r="K12" i="18"/>
  <c r="O12" i="18"/>
  <c r="AS12" i="18"/>
  <c r="F13" i="18"/>
  <c r="N13" i="18" s="1"/>
  <c r="K13" i="18"/>
  <c r="O13" i="18"/>
  <c r="AS13" i="18"/>
  <c r="F14" i="18"/>
  <c r="N14" i="18" s="1"/>
  <c r="K14" i="18"/>
  <c r="O14" i="18"/>
  <c r="AS14" i="18"/>
  <c r="F15" i="18"/>
  <c r="U15" i="18" s="1"/>
  <c r="K15" i="18"/>
  <c r="O15" i="18"/>
  <c r="AS15" i="18"/>
  <c r="F16" i="18"/>
  <c r="I16" i="18" s="1"/>
  <c r="O16" i="18"/>
  <c r="AS16" i="18"/>
  <c r="F17" i="18"/>
  <c r="N17" i="18" s="1"/>
  <c r="K17" i="18"/>
  <c r="O17" i="18"/>
  <c r="AS17" i="18"/>
  <c r="F18" i="18"/>
  <c r="N18" i="18" s="1"/>
  <c r="K18" i="18"/>
  <c r="O18" i="18"/>
  <c r="AS18" i="18"/>
  <c r="F19" i="18"/>
  <c r="N19" i="18" s="1"/>
  <c r="O19" i="18"/>
  <c r="AS19" i="18"/>
  <c r="F20" i="18"/>
  <c r="V20" i="18" s="1"/>
  <c r="O20" i="18"/>
  <c r="AS20" i="18"/>
  <c r="F21" i="18"/>
  <c r="N21" i="18" s="1"/>
  <c r="O21" i="18"/>
  <c r="AS21" i="18"/>
  <c r="F22" i="18"/>
  <c r="I22" i="18" s="1"/>
  <c r="O22" i="18"/>
  <c r="AS22" i="18"/>
  <c r="F23" i="18"/>
  <c r="I23" i="18" s="1"/>
  <c r="O23" i="18"/>
  <c r="AQ23" i="18"/>
  <c r="AS23" i="18"/>
  <c r="F24" i="18"/>
  <c r="I24" i="18" s="1"/>
  <c r="Z24" i="18" s="1"/>
  <c r="O24" i="18"/>
  <c r="AQ24" i="18"/>
  <c r="AS24" i="18"/>
  <c r="F25" i="18"/>
  <c r="N25" i="18" s="1"/>
  <c r="O25" i="18"/>
  <c r="AQ25" i="18"/>
  <c r="AS25" i="18"/>
  <c r="F26" i="18"/>
  <c r="I26" i="18" s="1"/>
  <c r="O26" i="18"/>
  <c r="AQ26" i="18"/>
  <c r="AS26" i="18"/>
  <c r="F27" i="18"/>
  <c r="U27" i="18" s="1"/>
  <c r="P27" i="18"/>
  <c r="X27" i="18"/>
  <c r="Y27" i="18"/>
  <c r="Z27" i="18"/>
  <c r="AS27" i="18"/>
  <c r="F28" i="18"/>
  <c r="V28" i="18" s="1"/>
  <c r="P28" i="18"/>
  <c r="X28" i="18"/>
  <c r="Y28" i="18"/>
  <c r="Z28" i="18"/>
  <c r="AS28" i="18"/>
  <c r="F29" i="18"/>
  <c r="N29" i="18" s="1"/>
  <c r="O29" i="18"/>
  <c r="AS29" i="18"/>
  <c r="F30" i="18"/>
  <c r="I30" i="18" s="1"/>
  <c r="X30" i="18" s="1"/>
  <c r="O30" i="18"/>
  <c r="AS30" i="18"/>
  <c r="F31" i="18"/>
  <c r="I31" i="18" s="1"/>
  <c r="O31" i="18"/>
  <c r="AS31" i="18"/>
  <c r="F32" i="18"/>
  <c r="I32" i="18" s="1"/>
  <c r="O32" i="18"/>
  <c r="AS32" i="18"/>
  <c r="F33" i="18"/>
  <c r="I33" i="18" s="1"/>
  <c r="X33" i="18" s="1"/>
  <c r="O33" i="18"/>
  <c r="AS33" i="18"/>
  <c r="F34" i="18"/>
  <c r="N34" i="18" s="1"/>
  <c r="O34" i="18"/>
  <c r="AQ34" i="18"/>
  <c r="AS34" i="18"/>
  <c r="F35" i="18"/>
  <c r="I35" i="18" s="1"/>
  <c r="X35" i="18" s="1"/>
  <c r="O35" i="18"/>
  <c r="AS35" i="18"/>
  <c r="F36" i="18"/>
  <c r="U36" i="18" s="1"/>
  <c r="O36" i="18"/>
  <c r="AS36" i="18"/>
  <c r="F37" i="18"/>
  <c r="N37" i="18" s="1"/>
  <c r="O37" i="18"/>
  <c r="AS37" i="18"/>
  <c r="F38" i="18"/>
  <c r="I38" i="18" s="1"/>
  <c r="Y38" i="18" s="1"/>
  <c r="O38" i="18"/>
  <c r="AS38" i="18"/>
  <c r="F39" i="18"/>
  <c r="I39" i="18" s="1"/>
  <c r="O39" i="18"/>
  <c r="AS39" i="18"/>
  <c r="F40" i="18"/>
  <c r="I40" i="18" s="1"/>
  <c r="O40" i="18"/>
  <c r="AS40" i="18"/>
  <c r="F41" i="18"/>
  <c r="U41" i="18" s="1"/>
  <c r="X41" i="18"/>
  <c r="Y41" i="18"/>
  <c r="Z41" i="18"/>
  <c r="AS41" i="18"/>
  <c r="F42" i="18"/>
  <c r="U42" i="18" s="1"/>
  <c r="X42" i="18"/>
  <c r="Y42" i="18"/>
  <c r="Z42" i="18"/>
  <c r="AS42" i="18"/>
  <c r="F43" i="18"/>
  <c r="U43" i="18" s="1"/>
  <c r="X43" i="18"/>
  <c r="Y43" i="18"/>
  <c r="Z43" i="18"/>
  <c r="AS43" i="18"/>
  <c r="X44" i="18"/>
  <c r="Y44" i="18"/>
  <c r="Z44" i="18"/>
  <c r="AS44" i="18"/>
  <c r="F45" i="18"/>
  <c r="U45" i="18" s="1"/>
  <c r="AA45" i="18" s="1"/>
  <c r="Q45" i="18" s="1"/>
  <c r="X45" i="18"/>
  <c r="Y45" i="18"/>
  <c r="Z45" i="18"/>
  <c r="AQ45" i="18"/>
  <c r="AS45" i="18"/>
  <c r="F46" i="18"/>
  <c r="U46" i="18" s="1"/>
  <c r="X46" i="18"/>
  <c r="Y46" i="18"/>
  <c r="Z46" i="18"/>
  <c r="AQ46" i="18"/>
  <c r="AS46" i="18"/>
  <c r="F47" i="18"/>
  <c r="W47" i="18" s="1"/>
  <c r="X47" i="18"/>
  <c r="Y47" i="18"/>
  <c r="Z47" i="18"/>
  <c r="AQ47" i="18"/>
  <c r="AS47" i="18"/>
  <c r="F48" i="18"/>
  <c r="U48" i="18" s="1"/>
  <c r="X48" i="18"/>
  <c r="Y48" i="18"/>
  <c r="Z48" i="18"/>
  <c r="AQ48" i="18"/>
  <c r="AS48" i="18"/>
  <c r="F49" i="18"/>
  <c r="U49" i="18" s="1"/>
  <c r="AA49" i="18" s="1"/>
  <c r="Q49" i="18" s="1"/>
  <c r="X49" i="18"/>
  <c r="Y49" i="18"/>
  <c r="Z49" i="18"/>
  <c r="AS49" i="18"/>
  <c r="F50" i="18"/>
  <c r="U50" i="18" s="1"/>
  <c r="X50" i="18"/>
  <c r="Y50" i="18"/>
  <c r="Z50" i="18"/>
  <c r="AS50" i="18"/>
  <c r="F51" i="18"/>
  <c r="V51" i="18" s="1"/>
  <c r="X51" i="18"/>
  <c r="Y51" i="18"/>
  <c r="Z51" i="18"/>
  <c r="AS51" i="18"/>
  <c r="F52" i="18"/>
  <c r="W52" i="18" s="1"/>
  <c r="X52" i="18"/>
  <c r="Y52" i="18"/>
  <c r="Z52" i="18"/>
  <c r="AS52" i="18"/>
  <c r="F53" i="18"/>
  <c r="V53" i="18" s="1"/>
  <c r="X53" i="18"/>
  <c r="Y53" i="18"/>
  <c r="Z53" i="18"/>
  <c r="AS53" i="18"/>
  <c r="F54" i="18"/>
  <c r="U54" i="18" s="1"/>
  <c r="X54" i="18"/>
  <c r="Y54" i="18"/>
  <c r="Z54" i="18"/>
  <c r="AQ54" i="18"/>
  <c r="AS54" i="18"/>
  <c r="F55" i="18"/>
  <c r="X55" i="18"/>
  <c r="Y55" i="18"/>
  <c r="Z55" i="18"/>
  <c r="AQ55" i="18"/>
  <c r="AS55" i="18"/>
  <c r="F56" i="18"/>
  <c r="U56" i="18" s="1"/>
  <c r="X56" i="18"/>
  <c r="Y56" i="18"/>
  <c r="Z56" i="18"/>
  <c r="AQ56" i="18"/>
  <c r="AS56" i="18"/>
  <c r="F57" i="18"/>
  <c r="N57" i="18" s="1"/>
  <c r="O57" i="18"/>
  <c r="AS57" i="18"/>
  <c r="F58" i="18"/>
  <c r="U58" i="18" s="1"/>
  <c r="X58" i="18"/>
  <c r="Y58" i="18"/>
  <c r="Z58" i="18"/>
  <c r="AQ58" i="18"/>
  <c r="AS58" i="18"/>
  <c r="F59" i="18"/>
  <c r="W59" i="18" s="1"/>
  <c r="X59" i="18"/>
  <c r="Y59" i="18"/>
  <c r="Z59" i="18"/>
  <c r="AQ59" i="18"/>
  <c r="AS59" i="18"/>
  <c r="F60" i="18"/>
  <c r="W60" i="18" s="1"/>
  <c r="X60" i="18"/>
  <c r="Y60" i="18"/>
  <c r="Z60" i="18"/>
  <c r="AQ60" i="18"/>
  <c r="AS60" i="18"/>
  <c r="F61" i="18"/>
  <c r="U61" i="18" s="1"/>
  <c r="X61" i="18"/>
  <c r="Y61" i="18"/>
  <c r="Z61" i="18"/>
  <c r="AS61" i="18"/>
  <c r="F62" i="18"/>
  <c r="N62" i="18" s="1"/>
  <c r="O62" i="18"/>
  <c r="AS62" i="18"/>
  <c r="F63" i="18"/>
  <c r="W63" i="18" s="1"/>
  <c r="X63" i="18"/>
  <c r="Y63" i="18"/>
  <c r="Z63" i="18"/>
  <c r="AS63" i="18"/>
  <c r="F64" i="18"/>
  <c r="U64" i="18" s="1"/>
  <c r="X64" i="18"/>
  <c r="Y64" i="18"/>
  <c r="Z64" i="18"/>
  <c r="AS64" i="18"/>
  <c r="F65" i="18"/>
  <c r="U65" i="18" s="1"/>
  <c r="X65" i="18"/>
  <c r="Y65" i="18"/>
  <c r="Z65" i="18"/>
  <c r="AS65" i="18"/>
  <c r="F66" i="18"/>
  <c r="U66" i="18" s="1"/>
  <c r="X66" i="18"/>
  <c r="Y66" i="18"/>
  <c r="Z66" i="18"/>
  <c r="AS66" i="18"/>
  <c r="F67" i="18"/>
  <c r="W67" i="18" s="1"/>
  <c r="X67" i="18"/>
  <c r="Y67" i="18"/>
  <c r="Z67" i="18"/>
  <c r="AS67" i="18"/>
  <c r="F68" i="18"/>
  <c r="U68" i="18" s="1"/>
  <c r="X68" i="18"/>
  <c r="Y68" i="18"/>
  <c r="Z68" i="18"/>
  <c r="AS68" i="18"/>
  <c r="F69" i="18"/>
  <c r="U69" i="18" s="1"/>
  <c r="AA69" i="18" s="1"/>
  <c r="Q69" i="18" s="1"/>
  <c r="X69" i="18"/>
  <c r="Y69" i="18"/>
  <c r="Z69" i="18"/>
  <c r="AS69" i="18"/>
  <c r="F70" i="18"/>
  <c r="U70" i="18" s="1"/>
  <c r="X70" i="18"/>
  <c r="Y70" i="18"/>
  <c r="Z70" i="18"/>
  <c r="AS70" i="18"/>
  <c r="F71" i="18"/>
  <c r="W71" i="18" s="1"/>
  <c r="AC71" i="18" s="1"/>
  <c r="S71" i="18" s="1"/>
  <c r="X71" i="18"/>
  <c r="Y71" i="18"/>
  <c r="Z71" i="18"/>
  <c r="AS71" i="18"/>
  <c r="F72" i="18"/>
  <c r="U72" i="18" s="1"/>
  <c r="X72" i="18"/>
  <c r="Y72" i="18"/>
  <c r="Z72" i="18"/>
  <c r="AS72" i="18"/>
  <c r="F73" i="18"/>
  <c r="U73" i="18" s="1"/>
  <c r="X73" i="18"/>
  <c r="Y73" i="18"/>
  <c r="Z73" i="18"/>
  <c r="AS73" i="18"/>
  <c r="F74" i="18"/>
  <c r="U74" i="18" s="1"/>
  <c r="X74" i="18"/>
  <c r="Y74" i="18"/>
  <c r="Z74" i="18"/>
  <c r="AQ74" i="18"/>
  <c r="AS74" i="18"/>
  <c r="F75" i="18"/>
  <c r="W75" i="18" s="1"/>
  <c r="AC75" i="18" s="1"/>
  <c r="S75" i="18" s="1"/>
  <c r="X75" i="18"/>
  <c r="Y75" i="18"/>
  <c r="Z75" i="18"/>
  <c r="AQ75" i="18"/>
  <c r="AS75" i="18"/>
  <c r="F76" i="18"/>
  <c r="U76" i="18" s="1"/>
  <c r="X76" i="18"/>
  <c r="Y76" i="18"/>
  <c r="Z76" i="18"/>
  <c r="AQ76" i="18"/>
  <c r="AS76" i="18"/>
  <c r="F77" i="18"/>
  <c r="U77" i="18" s="1"/>
  <c r="X77" i="18"/>
  <c r="Y77" i="18"/>
  <c r="Z77" i="18"/>
  <c r="AS77" i="18"/>
  <c r="F78" i="18"/>
  <c r="U78" i="18" s="1"/>
  <c r="AA78" i="18" s="1"/>
  <c r="Q78" i="18" s="1"/>
  <c r="X78" i="18"/>
  <c r="Y78" i="18"/>
  <c r="Z78" i="18"/>
  <c r="AS78" i="18"/>
  <c r="AA79" i="18"/>
  <c r="AB79" i="18"/>
  <c r="AC79" i="18"/>
  <c r="D80" i="18"/>
  <c r="D81" i="18" s="1"/>
  <c r="H80" i="18"/>
  <c r="F10" i="1"/>
  <c r="N10" i="1" s="1"/>
  <c r="O10" i="1"/>
  <c r="AS10" i="1"/>
  <c r="F11" i="1"/>
  <c r="N11" i="1" s="1"/>
  <c r="K11" i="1"/>
  <c r="O11" i="1"/>
  <c r="AS11" i="1"/>
  <c r="F12" i="1"/>
  <c r="I12" i="1" s="1"/>
  <c r="K12" i="1"/>
  <c r="O12" i="1"/>
  <c r="AS12" i="1"/>
  <c r="F13" i="1"/>
  <c r="N13" i="1" s="1"/>
  <c r="K13" i="1"/>
  <c r="O13" i="1"/>
  <c r="AS13" i="1"/>
  <c r="F14" i="1"/>
  <c r="N14" i="1" s="1"/>
  <c r="K14" i="1"/>
  <c r="O14" i="1"/>
  <c r="AS14" i="1"/>
  <c r="F15" i="1"/>
  <c r="N15" i="1" s="1"/>
  <c r="K15" i="1"/>
  <c r="O15" i="1"/>
  <c r="AS15" i="1"/>
  <c r="F16" i="1"/>
  <c r="I16" i="1" s="1"/>
  <c r="O16" i="1"/>
  <c r="AS16" i="1"/>
  <c r="K17" i="1"/>
  <c r="O17" i="1"/>
  <c r="AS17" i="1"/>
  <c r="K18" i="1"/>
  <c r="O18" i="1"/>
  <c r="AS18" i="1"/>
  <c r="F19" i="1"/>
  <c r="N19" i="1" s="1"/>
  <c r="O19" i="1"/>
  <c r="AS19" i="1"/>
  <c r="F20" i="1"/>
  <c r="N20" i="1" s="1"/>
  <c r="O20" i="1"/>
  <c r="AS20" i="1"/>
  <c r="F21" i="1"/>
  <c r="N21" i="1" s="1"/>
  <c r="O21" i="1"/>
  <c r="AS21" i="1"/>
  <c r="F22" i="1"/>
  <c r="I22" i="1" s="1"/>
  <c r="O22" i="1"/>
  <c r="AS22" i="1"/>
  <c r="F23" i="1"/>
  <c r="I23" i="1" s="1"/>
  <c r="O23" i="1"/>
  <c r="AQ23" i="1"/>
  <c r="AS23" i="1"/>
  <c r="F24" i="1"/>
  <c r="N24" i="1" s="1"/>
  <c r="O24" i="1"/>
  <c r="AQ24" i="1"/>
  <c r="AS24" i="1"/>
  <c r="F25" i="1"/>
  <c r="N25" i="1" s="1"/>
  <c r="O25" i="1"/>
  <c r="AQ25" i="1"/>
  <c r="AS25" i="1"/>
  <c r="F26" i="1"/>
  <c r="I26" i="1" s="1"/>
  <c r="O26" i="1"/>
  <c r="AQ26" i="1"/>
  <c r="AS26" i="1"/>
  <c r="F27" i="1"/>
  <c r="W27" i="1" s="1"/>
  <c r="AC27" i="1" s="1"/>
  <c r="S27" i="1" s="1"/>
  <c r="P27" i="1"/>
  <c r="X27" i="1"/>
  <c r="Y27" i="1"/>
  <c r="Z27" i="1"/>
  <c r="AS27" i="1"/>
  <c r="F28" i="1"/>
  <c r="U28" i="1" s="1"/>
  <c r="AA28" i="1" s="1"/>
  <c r="Q28" i="1" s="1"/>
  <c r="P28" i="1"/>
  <c r="X28" i="1"/>
  <c r="Y28" i="1"/>
  <c r="Z28" i="1"/>
  <c r="AS28" i="1"/>
  <c r="F29" i="1"/>
  <c r="I29" i="1" s="1"/>
  <c r="O29" i="1"/>
  <c r="AS29" i="1"/>
  <c r="F30" i="1"/>
  <c r="N30" i="1" s="1"/>
  <c r="O30" i="1"/>
  <c r="AS30" i="1"/>
  <c r="F31" i="1"/>
  <c r="I31" i="1" s="1"/>
  <c r="O31" i="1"/>
  <c r="AS31" i="1"/>
  <c r="F32" i="1"/>
  <c r="N32" i="1" s="1"/>
  <c r="O32" i="1"/>
  <c r="AS32" i="1"/>
  <c r="F33" i="1"/>
  <c r="N33" i="1" s="1"/>
  <c r="O33" i="1"/>
  <c r="AS33" i="1"/>
  <c r="F34" i="1"/>
  <c r="I34" i="1" s="1"/>
  <c r="O34" i="1"/>
  <c r="AQ34" i="1"/>
  <c r="AS34" i="1"/>
  <c r="F35" i="1"/>
  <c r="I35" i="1" s="1"/>
  <c r="O35" i="1"/>
  <c r="AS35" i="1"/>
  <c r="F36" i="1"/>
  <c r="N36" i="1" s="1"/>
  <c r="O36" i="1"/>
  <c r="AS36" i="1"/>
  <c r="F37" i="1"/>
  <c r="N37" i="1" s="1"/>
  <c r="O37" i="1"/>
  <c r="AS37" i="1"/>
  <c r="F38" i="1"/>
  <c r="N38" i="1" s="1"/>
  <c r="O38" i="1"/>
  <c r="AS38" i="1"/>
  <c r="F39" i="1"/>
  <c r="N39" i="1" s="1"/>
  <c r="O39" i="1"/>
  <c r="AS39" i="1"/>
  <c r="F40" i="1"/>
  <c r="W40" i="1" s="1"/>
  <c r="O40" i="1"/>
  <c r="AS40" i="1"/>
  <c r="F41" i="1"/>
  <c r="V41" i="1" s="1"/>
  <c r="X41" i="1"/>
  <c r="Y41" i="1"/>
  <c r="Z41" i="1"/>
  <c r="AS41" i="1"/>
  <c r="F42" i="1"/>
  <c r="W42" i="1" s="1"/>
  <c r="AC42" i="1" s="1"/>
  <c r="S42" i="1" s="1"/>
  <c r="X42" i="1"/>
  <c r="Y42" i="1"/>
  <c r="Z42" i="1"/>
  <c r="AS42" i="1"/>
  <c r="F43" i="1"/>
  <c r="U43" i="1" s="1"/>
  <c r="AA43" i="1" s="1"/>
  <c r="Q43" i="1" s="1"/>
  <c r="X43" i="1"/>
  <c r="Y43" i="1"/>
  <c r="Z43" i="1"/>
  <c r="AS43" i="1"/>
  <c r="F44" i="1"/>
  <c r="V44" i="1" s="1"/>
  <c r="X44" i="1"/>
  <c r="Y44" i="1"/>
  <c r="Z44" i="1"/>
  <c r="AS44" i="1"/>
  <c r="F45" i="1"/>
  <c r="U45" i="1" s="1"/>
  <c r="X45" i="1"/>
  <c r="Y45" i="1"/>
  <c r="Z45" i="1"/>
  <c r="AQ45" i="1"/>
  <c r="AS45" i="1"/>
  <c r="F46" i="1"/>
  <c r="U46" i="1" s="1"/>
  <c r="AA46" i="1" s="1"/>
  <c r="Q46" i="1" s="1"/>
  <c r="X46" i="1"/>
  <c r="Y46" i="1"/>
  <c r="Z46" i="1"/>
  <c r="AQ46" i="1"/>
  <c r="AS46" i="1"/>
  <c r="F47" i="1"/>
  <c r="U47" i="1" s="1"/>
  <c r="X47" i="1"/>
  <c r="Y47" i="1"/>
  <c r="Z47" i="1"/>
  <c r="AQ47" i="1"/>
  <c r="AS47" i="1"/>
  <c r="F48" i="1"/>
  <c r="W48" i="1" s="1"/>
  <c r="X48" i="1"/>
  <c r="Y48" i="1"/>
  <c r="Z48" i="1"/>
  <c r="AQ48" i="1"/>
  <c r="AS48" i="1"/>
  <c r="F49" i="1"/>
  <c r="W49" i="1" s="1"/>
  <c r="X49" i="1"/>
  <c r="Y49" i="1"/>
  <c r="Z49" i="1"/>
  <c r="AS49" i="1"/>
  <c r="F50" i="1"/>
  <c r="U50" i="1" s="1"/>
  <c r="AA50" i="1" s="1"/>
  <c r="Q50" i="1" s="1"/>
  <c r="X50" i="1"/>
  <c r="Y50" i="1"/>
  <c r="Z50" i="1"/>
  <c r="AS50" i="1"/>
  <c r="F51" i="1"/>
  <c r="W51" i="1" s="1"/>
  <c r="X51" i="1"/>
  <c r="Y51" i="1"/>
  <c r="Z51" i="1"/>
  <c r="AS51" i="1"/>
  <c r="F52" i="1"/>
  <c r="V52" i="1" s="1"/>
  <c r="X52" i="1"/>
  <c r="Y52" i="1"/>
  <c r="Z52" i="1"/>
  <c r="AS52" i="1"/>
  <c r="F53" i="1"/>
  <c r="V53" i="1" s="1"/>
  <c r="AB53" i="1" s="1"/>
  <c r="R53" i="1" s="1"/>
  <c r="X53" i="1"/>
  <c r="Y53" i="1"/>
  <c r="Z53" i="1"/>
  <c r="AS53" i="1"/>
  <c r="F54" i="1"/>
  <c r="U54" i="1" s="1"/>
  <c r="AA54" i="1" s="1"/>
  <c r="Q54" i="1" s="1"/>
  <c r="X54" i="1"/>
  <c r="Y54" i="1"/>
  <c r="Z54" i="1"/>
  <c r="AQ54" i="1"/>
  <c r="AS54" i="1"/>
  <c r="F55" i="1"/>
  <c r="U55" i="1" s="1"/>
  <c r="X55" i="1"/>
  <c r="Y55" i="1"/>
  <c r="Z55" i="1"/>
  <c r="AQ55" i="1"/>
  <c r="AS55" i="1"/>
  <c r="F56" i="1"/>
  <c r="V56" i="1" s="1"/>
  <c r="X56" i="1"/>
  <c r="Y56" i="1"/>
  <c r="Z56" i="1"/>
  <c r="AQ56" i="1"/>
  <c r="AS56" i="1"/>
  <c r="F57" i="1"/>
  <c r="U57" i="1" s="1"/>
  <c r="O57" i="1"/>
  <c r="AS57" i="1"/>
  <c r="F58" i="1"/>
  <c r="U58" i="1" s="1"/>
  <c r="X58" i="1"/>
  <c r="Y58" i="1"/>
  <c r="Z58" i="1"/>
  <c r="AQ58" i="1"/>
  <c r="AS58" i="1"/>
  <c r="F59" i="1"/>
  <c r="U59" i="1" s="1"/>
  <c r="AA59" i="1" s="1"/>
  <c r="Q59" i="1" s="1"/>
  <c r="X59" i="1"/>
  <c r="Y59" i="1"/>
  <c r="Z59" i="1"/>
  <c r="AQ59" i="1"/>
  <c r="AS59" i="1"/>
  <c r="F60" i="1"/>
  <c r="V60" i="1" s="1"/>
  <c r="X60" i="1"/>
  <c r="Y60" i="1"/>
  <c r="Z60" i="1"/>
  <c r="AQ60" i="1"/>
  <c r="AS60" i="1"/>
  <c r="F61" i="1"/>
  <c r="U61" i="1" s="1"/>
  <c r="AA61" i="1" s="1"/>
  <c r="Q61" i="1" s="1"/>
  <c r="X61" i="1"/>
  <c r="Y61" i="1"/>
  <c r="Z61" i="1"/>
  <c r="AS61" i="1"/>
  <c r="F62" i="1"/>
  <c r="I62" i="1" s="1"/>
  <c r="Z62" i="1" s="1"/>
  <c r="O62" i="1"/>
  <c r="AS62" i="1"/>
  <c r="F63" i="1"/>
  <c r="U63" i="1" s="1"/>
  <c r="X63" i="1"/>
  <c r="Y63" i="1"/>
  <c r="Z63" i="1"/>
  <c r="AS63" i="1"/>
  <c r="F64" i="1"/>
  <c r="W64" i="1" s="1"/>
  <c r="AC64" i="1" s="1"/>
  <c r="S64" i="1" s="1"/>
  <c r="X64" i="1"/>
  <c r="Y64" i="1"/>
  <c r="Z64" i="1"/>
  <c r="AS64" i="1"/>
  <c r="F65" i="1"/>
  <c r="U65" i="1" s="1"/>
  <c r="AA65" i="1" s="1"/>
  <c r="Q65" i="1" s="1"/>
  <c r="X65" i="1"/>
  <c r="Y65" i="1"/>
  <c r="Z65" i="1"/>
  <c r="AS65" i="1"/>
  <c r="F66" i="1"/>
  <c r="U66" i="1" s="1"/>
  <c r="AA66" i="1" s="1"/>
  <c r="Q66" i="1" s="1"/>
  <c r="X66" i="1"/>
  <c r="Y66" i="1"/>
  <c r="Z66" i="1"/>
  <c r="AS66" i="1"/>
  <c r="F67" i="1"/>
  <c r="U67" i="1" s="1"/>
  <c r="X67" i="1"/>
  <c r="Y67" i="1"/>
  <c r="Z67" i="1"/>
  <c r="AS67" i="1"/>
  <c r="F68" i="1"/>
  <c r="U68" i="1" s="1"/>
  <c r="AA68" i="1" s="1"/>
  <c r="Q68" i="1" s="1"/>
  <c r="X68" i="1"/>
  <c r="Y68" i="1"/>
  <c r="Z68" i="1"/>
  <c r="AS68" i="1"/>
  <c r="F69" i="1"/>
  <c r="U69" i="1" s="1"/>
  <c r="X69" i="1"/>
  <c r="Y69" i="1"/>
  <c r="Z69" i="1"/>
  <c r="AS69" i="1"/>
  <c r="F70" i="1"/>
  <c r="W70" i="1" s="1"/>
  <c r="AC70" i="1" s="1"/>
  <c r="S70" i="1" s="1"/>
  <c r="X70" i="1"/>
  <c r="Y70" i="1"/>
  <c r="Z70" i="1"/>
  <c r="AS70" i="1"/>
  <c r="F71" i="1"/>
  <c r="U71" i="1" s="1"/>
  <c r="AA71" i="1" s="1"/>
  <c r="Q71" i="1" s="1"/>
  <c r="X71" i="1"/>
  <c r="Y71" i="1"/>
  <c r="Z71" i="1"/>
  <c r="AS71" i="1"/>
  <c r="F72" i="1"/>
  <c r="U72" i="1" s="1"/>
  <c r="X72" i="1"/>
  <c r="Y72" i="1"/>
  <c r="Z72" i="1"/>
  <c r="AS72" i="1"/>
  <c r="F73" i="1"/>
  <c r="U73" i="1" s="1"/>
  <c r="X73" i="1"/>
  <c r="Y73" i="1"/>
  <c r="Z73" i="1"/>
  <c r="AS73" i="1"/>
  <c r="F74" i="1"/>
  <c r="U74" i="1" s="1"/>
  <c r="X74" i="1"/>
  <c r="Y74" i="1"/>
  <c r="Z74" i="1"/>
  <c r="AQ74" i="1"/>
  <c r="AS74" i="1"/>
  <c r="F75" i="1"/>
  <c r="U75" i="1" s="1"/>
  <c r="X75" i="1"/>
  <c r="Y75" i="1"/>
  <c r="Z75" i="1"/>
  <c r="AQ75" i="1"/>
  <c r="AS75" i="1"/>
  <c r="F76" i="1"/>
  <c r="V76" i="1" s="1"/>
  <c r="AB76" i="1" s="1"/>
  <c r="R76" i="1" s="1"/>
  <c r="X76" i="1"/>
  <c r="Y76" i="1"/>
  <c r="Z76" i="1"/>
  <c r="AQ76" i="1"/>
  <c r="AS76" i="1"/>
  <c r="F77" i="1"/>
  <c r="U77" i="1" s="1"/>
  <c r="AA77" i="1" s="1"/>
  <c r="Q77" i="1" s="1"/>
  <c r="X77" i="1"/>
  <c r="Y77" i="1"/>
  <c r="Z77" i="1"/>
  <c r="AS77" i="1"/>
  <c r="F78" i="1"/>
  <c r="V78" i="1" s="1"/>
  <c r="X78" i="1"/>
  <c r="Y78" i="1"/>
  <c r="Z78" i="1"/>
  <c r="AS78" i="1"/>
  <c r="AA79" i="1"/>
  <c r="AB79" i="1"/>
  <c r="AC79" i="1"/>
  <c r="D80" i="1"/>
  <c r="D81" i="1" s="1"/>
  <c r="H80" i="1"/>
  <c r="I29" i="18"/>
  <c r="Z29" i="18" s="1"/>
  <c r="N15" i="18"/>
  <c r="U44" i="18"/>
  <c r="AA44" i="18" s="1"/>
  <c r="Q44" i="18" s="1"/>
  <c r="N33" i="18"/>
  <c r="N26" i="18"/>
  <c r="U59" i="18"/>
  <c r="W61" i="18"/>
  <c r="AC61" i="18" s="1"/>
  <c r="S61" i="18" s="1"/>
  <c r="V61" i="18"/>
  <c r="AB61" i="18" s="1"/>
  <c r="R61" i="18" s="1"/>
  <c r="N62" i="1"/>
  <c r="N29" i="1"/>
  <c r="N57" i="1"/>
  <c r="N26" i="1"/>
  <c r="N23" i="1"/>
  <c r="I20" i="1"/>
  <c r="Z20" i="1" s="1"/>
  <c r="I18" i="18" l="1"/>
  <c r="Y18" i="18" s="1"/>
  <c r="W72" i="18"/>
  <c r="AC72" i="18" s="1"/>
  <c r="S72" i="18" s="1"/>
  <c r="W44" i="18"/>
  <c r="U62" i="1"/>
  <c r="V54" i="18"/>
  <c r="AB54" i="18" s="1"/>
  <c r="R54" i="18" s="1"/>
  <c r="P20" i="18"/>
  <c r="W31" i="18"/>
  <c r="P33" i="1"/>
  <c r="P31" i="1"/>
  <c r="P17" i="1"/>
  <c r="S73" i="6"/>
  <c r="F47" i="33" s="1"/>
  <c r="W19" i="18"/>
  <c r="V29" i="18"/>
  <c r="U13" i="18"/>
  <c r="V26" i="18"/>
  <c r="U22" i="18"/>
  <c r="U39" i="18"/>
  <c r="U35" i="18"/>
  <c r="AA35" i="18" s="1"/>
  <c r="Q35" i="18" s="1"/>
  <c r="V31" i="18"/>
  <c r="W28" i="18"/>
  <c r="AC28" i="18" s="1"/>
  <c r="S28" i="18" s="1"/>
  <c r="W24" i="18"/>
  <c r="AC24" i="18" s="1"/>
  <c r="S24" i="18" s="1"/>
  <c r="W21" i="18"/>
  <c r="U19" i="18"/>
  <c r="U12" i="18"/>
  <c r="W33" i="18"/>
  <c r="W30" i="18"/>
  <c r="U28" i="18"/>
  <c r="AA28" i="18" s="1"/>
  <c r="Q28" i="18" s="1"/>
  <c r="AU28" i="1" s="1"/>
  <c r="V24" i="18"/>
  <c r="U21" i="18"/>
  <c r="W17" i="18"/>
  <c r="U33" i="18"/>
  <c r="AA33" i="18" s="1"/>
  <c r="Q33" i="18" s="1"/>
  <c r="W29" i="18"/>
  <c r="AC29" i="18" s="1"/>
  <c r="S29" i="18" s="1"/>
  <c r="W26" i="18"/>
  <c r="W23" i="18"/>
  <c r="U20" i="18"/>
  <c r="U17" i="18"/>
  <c r="P30" i="1"/>
  <c r="N16" i="1"/>
  <c r="W25" i="18"/>
  <c r="W38" i="18"/>
  <c r="W34" i="18"/>
  <c r="V30" i="18"/>
  <c r="V25" i="18"/>
  <c r="W20" i="18"/>
  <c r="W16" i="18"/>
  <c r="W12" i="18"/>
  <c r="V38" i="18"/>
  <c r="AB38" i="18" s="1"/>
  <c r="R38" i="18" s="1"/>
  <c r="V34" i="18"/>
  <c r="U30" i="18"/>
  <c r="AA30" i="18" s="1"/>
  <c r="Q30" i="18" s="1"/>
  <c r="U25" i="18"/>
  <c r="V16" i="18"/>
  <c r="V12" i="18"/>
  <c r="U38" i="18"/>
  <c r="U34" i="18"/>
  <c r="U16" i="18"/>
  <c r="W37" i="18"/>
  <c r="W15" i="18"/>
  <c r="W11" i="18"/>
  <c r="V37" i="18"/>
  <c r="V33" i="18"/>
  <c r="U29" i="18"/>
  <c r="U24" i="18"/>
  <c r="V19" i="18"/>
  <c r="V15" i="18"/>
  <c r="V11" i="18"/>
  <c r="U37" i="18"/>
  <c r="U11" i="18"/>
  <c r="P34" i="18"/>
  <c r="W36" i="18"/>
  <c r="V32" i="18"/>
  <c r="W22" i="18"/>
  <c r="W18" i="18"/>
  <c r="W14" i="18"/>
  <c r="V36" i="18"/>
  <c r="U32" i="18"/>
  <c r="V22" i="18"/>
  <c r="V18" i="18"/>
  <c r="V14" i="18"/>
  <c r="U18" i="18"/>
  <c r="U14" i="18"/>
  <c r="W39" i="18"/>
  <c r="W35" i="18"/>
  <c r="W13" i="18"/>
  <c r="I25" i="18"/>
  <c r="X25" i="18" s="1"/>
  <c r="W41" i="18"/>
  <c r="AC41" i="18" s="1"/>
  <c r="S41" i="18" s="1"/>
  <c r="V39" i="18"/>
  <c r="V35" i="18"/>
  <c r="U31" i="18"/>
  <c r="U26" i="18"/>
  <c r="V21" i="18"/>
  <c r="V17" i="18"/>
  <c r="V13" i="18"/>
  <c r="W32" i="18"/>
  <c r="V23" i="18"/>
  <c r="U23" i="18"/>
  <c r="W62" i="1"/>
  <c r="AC62" i="1" s="1"/>
  <c r="S62" i="1" s="1"/>
  <c r="V55" i="1"/>
  <c r="AB55" i="1" s="1"/>
  <c r="R55" i="1" s="1"/>
  <c r="W74" i="1"/>
  <c r="AC74" i="1" s="1"/>
  <c r="S74" i="1" s="1"/>
  <c r="W55" i="1"/>
  <c r="AC55" i="1" s="1"/>
  <c r="S55" i="1" s="1"/>
  <c r="V77" i="1"/>
  <c r="AB77" i="1" s="1"/>
  <c r="R77" i="1" s="1"/>
  <c r="W57" i="1"/>
  <c r="U22" i="1"/>
  <c r="P21" i="1"/>
  <c r="P18" i="1"/>
  <c r="I24" i="1"/>
  <c r="X24" i="1" s="1"/>
  <c r="I33" i="1"/>
  <c r="Z33" i="1" s="1"/>
  <c r="P19" i="1"/>
  <c r="P11" i="1"/>
  <c r="V45" i="1"/>
  <c r="AB45" i="1" s="1"/>
  <c r="R45" i="1" s="1"/>
  <c r="V69" i="1"/>
  <c r="AB69" i="1" s="1"/>
  <c r="R69" i="1" s="1"/>
  <c r="U27" i="1"/>
  <c r="AA27" i="1" s="1"/>
  <c r="Q27" i="1" s="1"/>
  <c r="V26" i="1"/>
  <c r="W45" i="1"/>
  <c r="AC45" i="1" s="1"/>
  <c r="S45" i="1" s="1"/>
  <c r="U26" i="1"/>
  <c r="V14" i="1"/>
  <c r="V57" i="1"/>
  <c r="U38" i="1"/>
  <c r="P39" i="18"/>
  <c r="P35" i="18"/>
  <c r="I10" i="1"/>
  <c r="Y10" i="1" s="1"/>
  <c r="U10" i="18"/>
  <c r="V10" i="18"/>
  <c r="W10" i="18"/>
  <c r="I10" i="18"/>
  <c r="X10" i="18" s="1"/>
  <c r="U35" i="1"/>
  <c r="V62" i="1"/>
  <c r="I17" i="1"/>
  <c r="Y17" i="1" s="1"/>
  <c r="W58" i="1"/>
  <c r="AC58" i="1" s="1"/>
  <c r="S58" i="1" s="1"/>
  <c r="U41" i="1"/>
  <c r="AA41" i="1" s="1"/>
  <c r="Q41" i="1" s="1"/>
  <c r="U30" i="1"/>
  <c r="U15" i="1"/>
  <c r="U23" i="1"/>
  <c r="V22" i="1"/>
  <c r="W41" i="1"/>
  <c r="AC41" i="1" s="1"/>
  <c r="S41" i="1" s="1"/>
  <c r="U39" i="1"/>
  <c r="V38" i="1"/>
  <c r="V21" i="1"/>
  <c r="U19" i="1"/>
  <c r="V37" i="1"/>
  <c r="V18" i="1"/>
  <c r="U18" i="1"/>
  <c r="V30" i="1"/>
  <c r="V17" i="1"/>
  <c r="U34" i="1"/>
  <c r="V39" i="1"/>
  <c r="V35" i="1"/>
  <c r="V31" i="1"/>
  <c r="V27" i="1"/>
  <c r="AB27" i="1" s="1"/>
  <c r="R27" i="1" s="1"/>
  <c r="V23" i="1"/>
  <c r="V19" i="1"/>
  <c r="V15" i="1"/>
  <c r="V11" i="1"/>
  <c r="U31" i="1"/>
  <c r="U11" i="1"/>
  <c r="W38" i="1"/>
  <c r="W34" i="1"/>
  <c r="W30" i="1"/>
  <c r="W26" i="1"/>
  <c r="W22" i="1"/>
  <c r="W18" i="1"/>
  <c r="W14" i="1"/>
  <c r="U14" i="1"/>
  <c r="V75" i="1"/>
  <c r="AB75" i="1" s="1"/>
  <c r="R75" i="1" s="1"/>
  <c r="W37" i="1"/>
  <c r="W33" i="1"/>
  <c r="W29" i="1"/>
  <c r="W25" i="1"/>
  <c r="W21" i="1"/>
  <c r="W17" i="1"/>
  <c r="W13" i="1"/>
  <c r="V33" i="1"/>
  <c r="V29" i="1"/>
  <c r="V25" i="1"/>
  <c r="V13" i="1"/>
  <c r="U37" i="1"/>
  <c r="U33" i="1"/>
  <c r="U29" i="1"/>
  <c r="U25" i="1"/>
  <c r="U21" i="1"/>
  <c r="U17" i="1"/>
  <c r="U13" i="1"/>
  <c r="V34" i="1"/>
  <c r="U10" i="1"/>
  <c r="W36" i="1"/>
  <c r="W32" i="1"/>
  <c r="W28" i="1"/>
  <c r="AC28" i="1" s="1"/>
  <c r="S28" i="1" s="1"/>
  <c r="W24" i="1"/>
  <c r="W20" i="1"/>
  <c r="AC20" i="1" s="1"/>
  <c r="S20" i="1" s="1"/>
  <c r="W16" i="1"/>
  <c r="W12" i="1"/>
  <c r="W77" i="1"/>
  <c r="AC77" i="1" s="1"/>
  <c r="S77" i="1" s="1"/>
  <c r="V10" i="1"/>
  <c r="V36" i="1"/>
  <c r="V32" i="1"/>
  <c r="V28" i="1"/>
  <c r="AB28" i="1" s="1"/>
  <c r="R28" i="1" s="1"/>
  <c r="V24" i="1"/>
  <c r="V20" i="1"/>
  <c r="V16" i="1"/>
  <c r="V12" i="1"/>
  <c r="W10" i="1"/>
  <c r="U36" i="1"/>
  <c r="U32" i="1"/>
  <c r="U24" i="1"/>
  <c r="U20" i="1"/>
  <c r="U16" i="1"/>
  <c r="U12" i="1"/>
  <c r="W39" i="1"/>
  <c r="W35" i="1"/>
  <c r="W31" i="1"/>
  <c r="W23" i="1"/>
  <c r="W19" i="1"/>
  <c r="W15" i="1"/>
  <c r="W11" i="1"/>
  <c r="W27" i="18"/>
  <c r="AC27" i="18" s="1"/>
  <c r="S27" i="18" s="1"/>
  <c r="AW27" i="1" s="1"/>
  <c r="V27" i="18"/>
  <c r="AB27" i="18" s="1"/>
  <c r="R27" i="18" s="1"/>
  <c r="Q60" i="6"/>
  <c r="Q74" i="6" s="1"/>
  <c r="D48" i="28" s="1"/>
  <c r="P21" i="18"/>
  <c r="P14" i="1"/>
  <c r="P13" i="1"/>
  <c r="P16" i="1"/>
  <c r="I21" i="1"/>
  <c r="X21" i="1" s="1"/>
  <c r="P32" i="1"/>
  <c r="P26" i="1"/>
  <c r="P23" i="1"/>
  <c r="X29" i="18"/>
  <c r="Y29" i="18"/>
  <c r="Y16" i="1"/>
  <c r="Z16" i="1"/>
  <c r="X16" i="1"/>
  <c r="I37" i="1"/>
  <c r="X37" i="1" s="1"/>
  <c r="I57" i="1"/>
  <c r="Z57" i="1" s="1"/>
  <c r="I18" i="1"/>
  <c r="Y18" i="1" s="1"/>
  <c r="AA27" i="18"/>
  <c r="Q27" i="18" s="1"/>
  <c r="I11" i="1"/>
  <c r="I38" i="1"/>
  <c r="Z38" i="1" s="1"/>
  <c r="V74" i="1"/>
  <c r="AB74" i="1" s="1"/>
  <c r="R74" i="1" s="1"/>
  <c r="I32" i="1"/>
  <c r="X32" i="1" s="1"/>
  <c r="P24" i="1"/>
  <c r="I14" i="1"/>
  <c r="Y14" i="1" s="1"/>
  <c r="V64" i="1"/>
  <c r="AB64" i="1" s="1"/>
  <c r="R64" i="1" s="1"/>
  <c r="O81" i="1"/>
  <c r="W73" i="1"/>
  <c r="AC73" i="1" s="1"/>
  <c r="S73" i="1" s="1"/>
  <c r="W69" i="1"/>
  <c r="AC69" i="1" s="1"/>
  <c r="S69" i="1" s="1"/>
  <c r="U64" i="1"/>
  <c r="AA64" i="1" s="1"/>
  <c r="Q64" i="1" s="1"/>
  <c r="P57" i="1"/>
  <c r="P37" i="1"/>
  <c r="P40" i="1"/>
  <c r="P35" i="1"/>
  <c r="V63" i="18"/>
  <c r="AB63" i="18" s="1"/>
  <c r="R63" i="18" s="1"/>
  <c r="V67" i="18"/>
  <c r="AB67" i="18" s="1"/>
  <c r="R67" i="18" s="1"/>
  <c r="U67" i="18"/>
  <c r="AA67" i="18" s="1"/>
  <c r="Q67" i="18" s="1"/>
  <c r="X26" i="1"/>
  <c r="Y26" i="1"/>
  <c r="Z26" i="1"/>
  <c r="W63" i="1"/>
  <c r="AC63" i="1" s="1"/>
  <c r="S63" i="1" s="1"/>
  <c r="V66" i="1"/>
  <c r="AB66" i="1" s="1"/>
  <c r="R66" i="1" s="1"/>
  <c r="W66" i="1"/>
  <c r="AC66" i="1" s="1"/>
  <c r="S66" i="1" s="1"/>
  <c r="U76" i="1"/>
  <c r="AA76" i="1" s="1"/>
  <c r="Q76" i="1" s="1"/>
  <c r="U60" i="1"/>
  <c r="AA60" i="1" s="1"/>
  <c r="Q60" i="1" s="1"/>
  <c r="V58" i="1"/>
  <c r="AB58" i="1" s="1"/>
  <c r="R58" i="1" s="1"/>
  <c r="W60" i="1"/>
  <c r="AC60" i="1" s="1"/>
  <c r="S60" i="1" s="1"/>
  <c r="V63" i="1"/>
  <c r="AB63" i="1" s="1"/>
  <c r="R63" i="1" s="1"/>
  <c r="W43" i="1"/>
  <c r="AC43" i="1" s="1"/>
  <c r="S43" i="1" s="1"/>
  <c r="W46" i="1"/>
  <c r="AC46" i="1" s="1"/>
  <c r="S46" i="1" s="1"/>
  <c r="W48" i="18"/>
  <c r="AC48" i="18" s="1"/>
  <c r="S48" i="18" s="1"/>
  <c r="V57" i="18"/>
  <c r="V74" i="18"/>
  <c r="AB74" i="18" s="1"/>
  <c r="R74" i="18" s="1"/>
  <c r="V78" i="18"/>
  <c r="AB78" i="18" s="1"/>
  <c r="R78" i="18" s="1"/>
  <c r="W74" i="18"/>
  <c r="AC74" i="18" s="1"/>
  <c r="S74" i="18" s="1"/>
  <c r="P57" i="18"/>
  <c r="V42" i="18"/>
  <c r="AB42" i="18" s="1"/>
  <c r="R42" i="18" s="1"/>
  <c r="I57" i="18"/>
  <c r="Z57" i="18" s="1"/>
  <c r="W57" i="18"/>
  <c r="V50" i="18"/>
  <c r="AB50" i="18" s="1"/>
  <c r="R50" i="18" s="1"/>
  <c r="V41" i="18"/>
  <c r="AB41" i="18" s="1"/>
  <c r="R41" i="18" s="1"/>
  <c r="W50" i="18"/>
  <c r="AC50" i="18" s="1"/>
  <c r="S50" i="18" s="1"/>
  <c r="P29" i="18"/>
  <c r="P15" i="18"/>
  <c r="P26" i="18"/>
  <c r="I13" i="18"/>
  <c r="Y13" i="18" s="1"/>
  <c r="P12" i="18"/>
  <c r="I21" i="18"/>
  <c r="X21" i="18" s="1"/>
  <c r="P30" i="18"/>
  <c r="U52" i="18"/>
  <c r="AA52" i="18" s="1"/>
  <c r="Q52" i="18" s="1"/>
  <c r="P40" i="18"/>
  <c r="P10" i="18"/>
  <c r="P23" i="18"/>
  <c r="AA77" i="18"/>
  <c r="Q77" i="18" s="1"/>
  <c r="AU77" i="1" s="1"/>
  <c r="F6" i="18"/>
  <c r="G6" i="18" s="1"/>
  <c r="W43" i="18"/>
  <c r="AC43" i="18" s="1"/>
  <c r="S43" i="18" s="1"/>
  <c r="AA65" i="18"/>
  <c r="Q65" i="18" s="1"/>
  <c r="AU65" i="1" s="1"/>
  <c r="P62" i="18"/>
  <c r="AC60" i="18"/>
  <c r="S60" i="18" s="1"/>
  <c r="AA58" i="18"/>
  <c r="Q58" i="18" s="1"/>
  <c r="P18" i="18"/>
  <c r="W45" i="18"/>
  <c r="AC45" i="18" s="1"/>
  <c r="S45" i="18" s="1"/>
  <c r="N31" i="18"/>
  <c r="P38" i="18"/>
  <c r="I15" i="18"/>
  <c r="Z15" i="18" s="1"/>
  <c r="AA74" i="18"/>
  <c r="Q74" i="18" s="1"/>
  <c r="AC44" i="18"/>
  <c r="S44" i="18" s="1"/>
  <c r="P37" i="18"/>
  <c r="V52" i="18"/>
  <c r="AB52" i="18" s="1"/>
  <c r="R52" i="18" s="1"/>
  <c r="V43" i="18"/>
  <c r="AB43" i="18" s="1"/>
  <c r="R43" i="18" s="1"/>
  <c r="V46" i="18"/>
  <c r="AB46" i="18" s="1"/>
  <c r="R46" i="18" s="1"/>
  <c r="Z32" i="18"/>
  <c r="X32" i="18"/>
  <c r="Y32" i="18"/>
  <c r="W56" i="18"/>
  <c r="AC56" i="18" s="1"/>
  <c r="S56" i="18" s="1"/>
  <c r="N32" i="18"/>
  <c r="AA72" i="18"/>
  <c r="Q72" i="18" s="1"/>
  <c r="W68" i="18"/>
  <c r="AC68" i="18" s="1"/>
  <c r="S68" i="18" s="1"/>
  <c r="AC67" i="18"/>
  <c r="S67" i="18" s="1"/>
  <c r="W69" i="18"/>
  <c r="AC69" i="18" s="1"/>
  <c r="S69" i="18" s="1"/>
  <c r="W54" i="18"/>
  <c r="AC54" i="18" s="1"/>
  <c r="S54" i="18" s="1"/>
  <c r="U47" i="18"/>
  <c r="AA47" i="18" s="1"/>
  <c r="Q47" i="18" s="1"/>
  <c r="N35" i="18"/>
  <c r="I11" i="18"/>
  <c r="X11" i="18" s="1"/>
  <c r="I14" i="18"/>
  <c r="Y14" i="18" s="1"/>
  <c r="AA64" i="18"/>
  <c r="Q64" i="18" s="1"/>
  <c r="AA48" i="18"/>
  <c r="Q48" i="18" s="1"/>
  <c r="AA46" i="18"/>
  <c r="Q46" i="18" s="1"/>
  <c r="AU46" i="1" s="1"/>
  <c r="V47" i="18"/>
  <c r="AB47" i="18" s="1"/>
  <c r="R47" i="18" s="1"/>
  <c r="P25" i="18"/>
  <c r="V56" i="18"/>
  <c r="AB56" i="18" s="1"/>
  <c r="R56" i="18" s="1"/>
  <c r="V45" i="18"/>
  <c r="AB45" i="18" s="1"/>
  <c r="R45" i="18" s="1"/>
  <c r="AA66" i="18"/>
  <c r="Q66" i="18" s="1"/>
  <c r="AU66" i="1" s="1"/>
  <c r="AC63" i="18"/>
  <c r="S63" i="18" s="1"/>
  <c r="V68" i="18"/>
  <c r="AB68" i="18" s="1"/>
  <c r="R68" i="18" s="1"/>
  <c r="AA73" i="18"/>
  <c r="Q73" i="18" s="1"/>
  <c r="AC52" i="18"/>
  <c r="S52" i="18" s="1"/>
  <c r="O81" i="18"/>
  <c r="C45" i="34" s="1"/>
  <c r="I17" i="18"/>
  <c r="Z17" i="18" s="1"/>
  <c r="V69" i="18"/>
  <c r="AB69" i="18" s="1"/>
  <c r="R69" i="18" s="1"/>
  <c r="V70" i="18"/>
  <c r="AB70" i="18" s="1"/>
  <c r="R70" i="18" s="1"/>
  <c r="N24" i="18"/>
  <c r="Y23" i="1"/>
  <c r="X23" i="1"/>
  <c r="Z23" i="1"/>
  <c r="V40" i="1"/>
  <c r="V72" i="1"/>
  <c r="AB72" i="1" s="1"/>
  <c r="R72" i="1" s="1"/>
  <c r="V42" i="1"/>
  <c r="AB42" i="1" s="1"/>
  <c r="R42" i="1" s="1"/>
  <c r="V47" i="1"/>
  <c r="AB47" i="1" s="1"/>
  <c r="R47" i="1" s="1"/>
  <c r="I13" i="1"/>
  <c r="Y13" i="1" s="1"/>
  <c r="W54" i="1"/>
  <c r="AC54" i="1" s="1"/>
  <c r="S54" i="1" s="1"/>
  <c r="V67" i="1"/>
  <c r="AB67" i="1" s="1"/>
  <c r="R67" i="1" s="1"/>
  <c r="AA58" i="1"/>
  <c r="Q58" i="1" s="1"/>
  <c r="AA45" i="1"/>
  <c r="Q45" i="1" s="1"/>
  <c r="AU45" i="1" s="1"/>
  <c r="AA47" i="1"/>
  <c r="Q47" i="1" s="1"/>
  <c r="P36" i="1"/>
  <c r="V65" i="1"/>
  <c r="AB65" i="1" s="1"/>
  <c r="R65" i="1" s="1"/>
  <c r="V43" i="1"/>
  <c r="AB43" i="1" s="1"/>
  <c r="R43" i="1" s="1"/>
  <c r="N35" i="1"/>
  <c r="P39" i="1"/>
  <c r="AA74" i="1"/>
  <c r="Q74" i="1" s="1"/>
  <c r="V46" i="1"/>
  <c r="AB46" i="1" s="1"/>
  <c r="R46" i="1" s="1"/>
  <c r="W76" i="1"/>
  <c r="AC76" i="1" s="1"/>
  <c r="S76" i="1" s="1"/>
  <c r="N12" i="1"/>
  <c r="V54" i="1"/>
  <c r="AB54" i="1" s="1"/>
  <c r="R54" i="1" s="1"/>
  <c r="W56" i="1"/>
  <c r="AC56" i="1" s="1"/>
  <c r="S56" i="1" s="1"/>
  <c r="V50" i="1"/>
  <c r="AB50" i="1" s="1"/>
  <c r="R50" i="1" s="1"/>
  <c r="U56" i="1"/>
  <c r="AA56" i="1" s="1"/>
  <c r="Q56" i="1" s="1"/>
  <c r="AC48" i="1"/>
  <c r="S48" i="1" s="1"/>
  <c r="AB44" i="1"/>
  <c r="R44" i="1" s="1"/>
  <c r="P15" i="1"/>
  <c r="W65" i="1"/>
  <c r="AC65" i="1" s="1"/>
  <c r="S65" i="1" s="1"/>
  <c r="N40" i="1"/>
  <c r="P22" i="1"/>
  <c r="I15" i="1"/>
  <c r="Z15" i="1" s="1"/>
  <c r="P12" i="1"/>
  <c r="W67" i="1"/>
  <c r="AC67" i="1" s="1"/>
  <c r="S67" i="1" s="1"/>
  <c r="AB52" i="1"/>
  <c r="R52" i="1" s="1"/>
  <c r="AB41" i="1"/>
  <c r="R41" i="1" s="1"/>
  <c r="X12" i="1"/>
  <c r="Y12" i="1"/>
  <c r="Z12" i="1"/>
  <c r="Z29" i="1"/>
  <c r="X29" i="1"/>
  <c r="Y29" i="1"/>
  <c r="U48" i="1"/>
  <c r="AA48" i="1" s="1"/>
  <c r="Q48" i="1" s="1"/>
  <c r="I40" i="1"/>
  <c r="X40" i="1" s="1"/>
  <c r="I30" i="1"/>
  <c r="P25" i="1"/>
  <c r="U70" i="1"/>
  <c r="AA70" i="1" s="1"/>
  <c r="Q70" i="1" s="1"/>
  <c r="U44" i="1"/>
  <c r="AA44" i="1" s="1"/>
  <c r="Q44" i="1" s="1"/>
  <c r="AU44" i="1" s="1"/>
  <c r="U42" i="1"/>
  <c r="AA42" i="1" s="1"/>
  <c r="Q42" i="1" s="1"/>
  <c r="I36" i="1"/>
  <c r="X36" i="1" s="1"/>
  <c r="P29" i="1"/>
  <c r="AA72" i="1"/>
  <c r="Q72" i="1" s="1"/>
  <c r="AA63" i="1"/>
  <c r="Q63" i="1" s="1"/>
  <c r="V70" i="1"/>
  <c r="AB70" i="1" s="1"/>
  <c r="R70" i="1" s="1"/>
  <c r="U52" i="1"/>
  <c r="AA52" i="1" s="1"/>
  <c r="Q52" i="1" s="1"/>
  <c r="AB78" i="1"/>
  <c r="R78" i="1" s="1"/>
  <c r="AB56" i="1"/>
  <c r="R56" i="1" s="1"/>
  <c r="AQ80" i="1"/>
  <c r="AQ81" i="1" s="1"/>
  <c r="V48" i="1"/>
  <c r="AB48" i="1" s="1"/>
  <c r="R48" i="1" s="1"/>
  <c r="W52" i="1"/>
  <c r="AC52" i="1" s="1"/>
  <c r="S52" i="1" s="1"/>
  <c r="AA67" i="1"/>
  <c r="Q67" i="1" s="1"/>
  <c r="AC49" i="1"/>
  <c r="S49" i="1" s="1"/>
  <c r="P38" i="1"/>
  <c r="AB60" i="1"/>
  <c r="R60" i="1" s="1"/>
  <c r="U40" i="1"/>
  <c r="AA69" i="1"/>
  <c r="Q69" i="1" s="1"/>
  <c r="AU69" i="1" s="1"/>
  <c r="AC51" i="1"/>
  <c r="S51" i="1" s="1"/>
  <c r="P20" i="1"/>
  <c r="P34" i="1"/>
  <c r="W44" i="1"/>
  <c r="AC44" i="1" s="1"/>
  <c r="S44" i="1" s="1"/>
  <c r="W50" i="1"/>
  <c r="AC50" i="1" s="1"/>
  <c r="S50" i="1" s="1"/>
  <c r="I25" i="1"/>
  <c r="X25" i="1" s="1"/>
  <c r="AA75" i="1"/>
  <c r="Q75" i="1" s="1"/>
  <c r="AA73" i="1"/>
  <c r="Q73" i="1" s="1"/>
  <c r="AA55" i="1"/>
  <c r="Q55" i="1" s="1"/>
  <c r="L75" i="2"/>
  <c r="Q72" i="6"/>
  <c r="D46" i="28" s="1"/>
  <c r="K75" i="2"/>
  <c r="D45" i="28" s="1"/>
  <c r="J75" i="2"/>
  <c r="F45" i="28" s="1"/>
  <c r="P65" i="6"/>
  <c r="P75" i="6" s="1"/>
  <c r="F49" i="28" s="1"/>
  <c r="Q65" i="6"/>
  <c r="Q75" i="6" s="1"/>
  <c r="D49" i="28" s="1"/>
  <c r="R60" i="6"/>
  <c r="R74" i="6" s="1"/>
  <c r="P60" i="6"/>
  <c r="P74" i="6" s="1"/>
  <c r="F48" i="28" s="1"/>
  <c r="X16" i="18"/>
  <c r="Y16" i="18"/>
  <c r="V77" i="18"/>
  <c r="AB77" i="18" s="1"/>
  <c r="R77" i="18" s="1"/>
  <c r="N30" i="18"/>
  <c r="V64" i="18"/>
  <c r="AB64" i="18" s="1"/>
  <c r="R64" i="18" s="1"/>
  <c r="U57" i="18"/>
  <c r="W42" i="18"/>
  <c r="AC42" i="18" s="1"/>
  <c r="S42" i="18" s="1"/>
  <c r="AW42" i="1" s="1"/>
  <c r="W70" i="18"/>
  <c r="AC70" i="18" s="1"/>
  <c r="S70" i="18" s="1"/>
  <c r="AW70" i="1" s="1"/>
  <c r="U63" i="18"/>
  <c r="AA63" i="18" s="1"/>
  <c r="Q63" i="18" s="1"/>
  <c r="N38" i="18"/>
  <c r="AA61" i="18"/>
  <c r="Q61" i="18" s="1"/>
  <c r="AU61" i="1" s="1"/>
  <c r="AC59" i="18"/>
  <c r="S59" i="18" s="1"/>
  <c r="AA50" i="18"/>
  <c r="Q50" i="18" s="1"/>
  <c r="AU50" i="1" s="1"/>
  <c r="AA41" i="18"/>
  <c r="Q41" i="18" s="1"/>
  <c r="N23" i="18"/>
  <c r="N16" i="18"/>
  <c r="AA68" i="18"/>
  <c r="Q68" i="18" s="1"/>
  <c r="AU68" i="1" s="1"/>
  <c r="AA43" i="18"/>
  <c r="Q43" i="18" s="1"/>
  <c r="AU43" i="1" s="1"/>
  <c r="N39" i="18"/>
  <c r="I12" i="18"/>
  <c r="X12" i="18" s="1"/>
  <c r="AA56" i="18"/>
  <c r="Q56" i="18" s="1"/>
  <c r="AA54" i="18"/>
  <c r="Q54" i="18" s="1"/>
  <c r="AU54" i="1" s="1"/>
  <c r="P36" i="18"/>
  <c r="AB28" i="18"/>
  <c r="R28" i="18" s="1"/>
  <c r="I19" i="18"/>
  <c r="AA70" i="18"/>
  <c r="Q70" i="18" s="1"/>
  <c r="AB44" i="18"/>
  <c r="R44" i="18" s="1"/>
  <c r="V72" i="18"/>
  <c r="AB72" i="18" s="1"/>
  <c r="R72" i="18" s="1"/>
  <c r="W65" i="18"/>
  <c r="AC65" i="18" s="1"/>
  <c r="S65" i="18" s="1"/>
  <c r="U71" i="18"/>
  <c r="AA71" i="18" s="1"/>
  <c r="Q71" i="18" s="1"/>
  <c r="AU71" i="1" s="1"/>
  <c r="AC47" i="18"/>
  <c r="S47" i="18" s="1"/>
  <c r="AQ80" i="18"/>
  <c r="F34" i="28" s="1"/>
  <c r="V65" i="18"/>
  <c r="AB65" i="18" s="1"/>
  <c r="R65" i="18" s="1"/>
  <c r="W73" i="18"/>
  <c r="AC73" i="18" s="1"/>
  <c r="S73" i="18" s="1"/>
  <c r="V71" i="18"/>
  <c r="AB71" i="18" s="1"/>
  <c r="R71" i="18" s="1"/>
  <c r="I34" i="18"/>
  <c r="Z34" i="18" s="1"/>
  <c r="AA76" i="18"/>
  <c r="Q76" i="18" s="1"/>
  <c r="AB51" i="18"/>
  <c r="R51" i="18" s="1"/>
  <c r="AA42" i="18"/>
  <c r="Q42" i="18" s="1"/>
  <c r="P17" i="18"/>
  <c r="P14" i="18"/>
  <c r="V48" i="18"/>
  <c r="AB48" i="18" s="1"/>
  <c r="R48" i="18" s="1"/>
  <c r="W77" i="18"/>
  <c r="AC77" i="18" s="1"/>
  <c r="S77" i="18" s="1"/>
  <c r="V75" i="18"/>
  <c r="AB75" i="18" s="1"/>
  <c r="R75" i="18" s="1"/>
  <c r="AB53" i="18"/>
  <c r="R53" i="18" s="1"/>
  <c r="AV53" i="1" s="1"/>
  <c r="U75" i="18"/>
  <c r="AA75" i="18" s="1"/>
  <c r="Q75" i="18" s="1"/>
  <c r="W64" i="18"/>
  <c r="AC64" i="18" s="1"/>
  <c r="S64" i="18" s="1"/>
  <c r="AW64" i="1" s="1"/>
  <c r="V73" i="18"/>
  <c r="AB73" i="18" s="1"/>
  <c r="R73" i="18" s="1"/>
  <c r="W46" i="18"/>
  <c r="AC46" i="18" s="1"/>
  <c r="S46" i="18" s="1"/>
  <c r="AA59" i="18"/>
  <c r="Q59" i="18" s="1"/>
  <c r="AU59" i="1" s="1"/>
  <c r="I37" i="18"/>
  <c r="Y37" i="18" s="1"/>
  <c r="P16" i="18"/>
  <c r="P13" i="18"/>
  <c r="V76" i="18"/>
  <c r="AB76" i="18" s="1"/>
  <c r="R76" i="18" s="1"/>
  <c r="AV76" i="1" s="1"/>
  <c r="V59" i="18"/>
  <c r="AB59" i="18" s="1"/>
  <c r="R59" i="18" s="1"/>
  <c r="W76" i="18"/>
  <c r="AC76" i="18" s="1"/>
  <c r="S76" i="18" s="1"/>
  <c r="W40" i="18"/>
  <c r="V40" i="18"/>
  <c r="P10" i="1"/>
  <c r="P33" i="18"/>
  <c r="P32" i="18"/>
  <c r="P31" i="18"/>
  <c r="P24" i="18"/>
  <c r="P22" i="18"/>
  <c r="Z16" i="18"/>
  <c r="P11" i="18"/>
  <c r="P19" i="18"/>
  <c r="V60" i="18"/>
  <c r="AB60" i="18" s="1"/>
  <c r="R60" i="18" s="1"/>
  <c r="U60" i="18"/>
  <c r="AA60" i="18" s="1"/>
  <c r="Q60" i="18" s="1"/>
  <c r="W58" i="18"/>
  <c r="AC58" i="18" s="1"/>
  <c r="S58" i="18" s="1"/>
  <c r="W78" i="18"/>
  <c r="AC78" i="18" s="1"/>
  <c r="S78" i="18" s="1"/>
  <c r="V58" i="18"/>
  <c r="AB58" i="18" s="1"/>
  <c r="R58" i="18" s="1"/>
  <c r="Y40" i="18"/>
  <c r="X40" i="18"/>
  <c r="Z40" i="18"/>
  <c r="U40" i="18"/>
  <c r="N40" i="18"/>
  <c r="V55" i="18"/>
  <c r="AB55" i="18" s="1"/>
  <c r="R55" i="18" s="1"/>
  <c r="U55" i="18"/>
  <c r="AA55" i="18" s="1"/>
  <c r="Q55" i="18" s="1"/>
  <c r="W55" i="18"/>
  <c r="AC55" i="18" s="1"/>
  <c r="S55" i="18" s="1"/>
  <c r="U53" i="18"/>
  <c r="AA53" i="18" s="1"/>
  <c r="Q53" i="18" s="1"/>
  <c r="W51" i="18"/>
  <c r="AC51" i="18" s="1"/>
  <c r="S51" i="18" s="1"/>
  <c r="Z22" i="18"/>
  <c r="Y22" i="18"/>
  <c r="AB22" i="18" s="1"/>
  <c r="R22" i="18" s="1"/>
  <c r="Y39" i="18"/>
  <c r="X39" i="18"/>
  <c r="Z35" i="18"/>
  <c r="Y35" i="18"/>
  <c r="I36" i="18"/>
  <c r="N36" i="18"/>
  <c r="Z39" i="18"/>
  <c r="W53" i="18"/>
  <c r="AC53" i="18" s="1"/>
  <c r="S53" i="18" s="1"/>
  <c r="Y24" i="18"/>
  <c r="X24" i="18"/>
  <c r="W62" i="18"/>
  <c r="Y23" i="18"/>
  <c r="X23" i="18"/>
  <c r="Z23" i="18"/>
  <c r="U51" i="18"/>
  <c r="AA51" i="18" s="1"/>
  <c r="Q51" i="18" s="1"/>
  <c r="X22" i="18"/>
  <c r="W49" i="18"/>
  <c r="AC49" i="18" s="1"/>
  <c r="S49" i="18" s="1"/>
  <c r="V49" i="18"/>
  <c r="AB49" i="18" s="1"/>
  <c r="R49" i="18" s="1"/>
  <c r="U62" i="18"/>
  <c r="I62" i="18"/>
  <c r="X38" i="18"/>
  <c r="Z38" i="18"/>
  <c r="Y31" i="18"/>
  <c r="Z31" i="18"/>
  <c r="Z26" i="18"/>
  <c r="Y26" i="18"/>
  <c r="X26" i="18"/>
  <c r="I20" i="18"/>
  <c r="N20" i="18"/>
  <c r="Y30" i="18"/>
  <c r="Z30" i="18"/>
  <c r="V66" i="18"/>
  <c r="AB66" i="18" s="1"/>
  <c r="R66" i="18" s="1"/>
  <c r="W66" i="18"/>
  <c r="AC66" i="18" s="1"/>
  <c r="S66" i="18" s="1"/>
  <c r="D8" i="19"/>
  <c r="I81" i="19" s="1"/>
  <c r="V62" i="18"/>
  <c r="X31" i="18"/>
  <c r="Y33" i="18"/>
  <c r="Z33" i="18"/>
  <c r="N22" i="18"/>
  <c r="O80" i="18"/>
  <c r="C43" i="34" s="1"/>
  <c r="D80" i="19"/>
  <c r="P62" i="1"/>
  <c r="Y62" i="1"/>
  <c r="V71" i="1"/>
  <c r="AB71" i="1" s="1"/>
  <c r="R71" i="1" s="1"/>
  <c r="W68" i="1"/>
  <c r="AC68" i="1" s="1"/>
  <c r="S68" i="1" s="1"/>
  <c r="U78" i="1"/>
  <c r="AA78" i="1" s="1"/>
  <c r="Q78" i="1" s="1"/>
  <c r="AU78" i="1" s="1"/>
  <c r="V68" i="1"/>
  <c r="AB68" i="1" s="1"/>
  <c r="R68" i="1" s="1"/>
  <c r="V51" i="1"/>
  <c r="AB51" i="1" s="1"/>
  <c r="R51" i="1" s="1"/>
  <c r="W72" i="1"/>
  <c r="AC72" i="1" s="1"/>
  <c r="S72" i="1" s="1"/>
  <c r="V73" i="1"/>
  <c r="AB73" i="1" s="1"/>
  <c r="R73" i="1" s="1"/>
  <c r="W71" i="1"/>
  <c r="AC71" i="1" s="1"/>
  <c r="S71" i="1" s="1"/>
  <c r="AW71" i="1" s="1"/>
  <c r="W78" i="1"/>
  <c r="AC78" i="1" s="1"/>
  <c r="S78" i="1" s="1"/>
  <c r="V59" i="1"/>
  <c r="AB59" i="1" s="1"/>
  <c r="R59" i="1" s="1"/>
  <c r="W47" i="1"/>
  <c r="AC47" i="1" s="1"/>
  <c r="S47" i="1" s="1"/>
  <c r="W75" i="1"/>
  <c r="AC75" i="1" s="1"/>
  <c r="S75" i="1" s="1"/>
  <c r="AW75" i="1" s="1"/>
  <c r="X62" i="1"/>
  <c r="AA62" i="1" s="1"/>
  <c r="Q62" i="1" s="1"/>
  <c r="W59" i="1"/>
  <c r="AC59" i="1" s="1"/>
  <c r="S59" i="1" s="1"/>
  <c r="Y34" i="1"/>
  <c r="X34" i="1"/>
  <c r="Z34" i="1"/>
  <c r="X35" i="1"/>
  <c r="Z35" i="1"/>
  <c r="Y35" i="1"/>
  <c r="Z22" i="1"/>
  <c r="X22" i="1"/>
  <c r="Y22" i="1"/>
  <c r="Z31" i="1"/>
  <c r="X31" i="1"/>
  <c r="Y31" i="1"/>
  <c r="X20" i="1"/>
  <c r="V61" i="1"/>
  <c r="AB61" i="1" s="1"/>
  <c r="R61" i="1" s="1"/>
  <c r="AV61" i="1" s="1"/>
  <c r="I39" i="1"/>
  <c r="U53" i="1"/>
  <c r="AA53" i="1" s="1"/>
  <c r="Q53" i="1" s="1"/>
  <c r="U51" i="1"/>
  <c r="AA51" i="1" s="1"/>
  <c r="Q51" i="1" s="1"/>
  <c r="U49" i="1"/>
  <c r="N34" i="1"/>
  <c r="N31" i="1"/>
  <c r="N22" i="1"/>
  <c r="I19" i="1"/>
  <c r="W53" i="1"/>
  <c r="AC53" i="1" s="1"/>
  <c r="S53" i="1" s="1"/>
  <c r="V49" i="1"/>
  <c r="AB49" i="1" s="1"/>
  <c r="R49" i="1" s="1"/>
  <c r="Y20" i="1"/>
  <c r="W61" i="1"/>
  <c r="AC61" i="1" s="1"/>
  <c r="S61" i="1" s="1"/>
  <c r="AW61" i="1" s="1"/>
  <c r="O80" i="1"/>
  <c r="F6" i="1"/>
  <c r="G6" i="1" s="1"/>
  <c r="R65" i="6"/>
  <c r="R75" i="6" s="1"/>
  <c r="R73" i="6"/>
  <c r="P42" i="6"/>
  <c r="P72" i="6" s="1"/>
  <c r="F46" i="28" s="1"/>
  <c r="R72" i="6"/>
  <c r="P54" i="6"/>
  <c r="P73" i="6" s="1"/>
  <c r="F47" i="28" s="1"/>
  <c r="AC17" i="18" l="1"/>
  <c r="S17" i="18" s="1"/>
  <c r="AB35" i="18"/>
  <c r="R35" i="18" s="1"/>
  <c r="AV54" i="1"/>
  <c r="AC16" i="18"/>
  <c r="S16" i="18" s="1"/>
  <c r="AA21" i="18"/>
  <c r="Q21" i="18" s="1"/>
  <c r="AA39" i="18"/>
  <c r="Q39" i="18" s="1"/>
  <c r="AC26" i="18"/>
  <c r="S26" i="18" s="1"/>
  <c r="AB29" i="18"/>
  <c r="R29" i="18" s="1"/>
  <c r="AB18" i="18"/>
  <c r="R18" i="18" s="1"/>
  <c r="Z18" i="18"/>
  <c r="AC18" i="18" s="1"/>
  <c r="S18" i="18" s="1"/>
  <c r="AA26" i="18"/>
  <c r="Q26" i="18" s="1"/>
  <c r="AC33" i="18"/>
  <c r="S33" i="18" s="1"/>
  <c r="AC31" i="18"/>
  <c r="S31" i="18" s="1"/>
  <c r="AB31" i="18"/>
  <c r="R31" i="18" s="1"/>
  <c r="X18" i="18"/>
  <c r="AA18" i="18" s="1"/>
  <c r="Q18" i="18" s="1"/>
  <c r="AC15" i="18"/>
  <c r="S15" i="18" s="1"/>
  <c r="AW72" i="1"/>
  <c r="AB33" i="18"/>
  <c r="R33" i="18" s="1"/>
  <c r="AB26" i="18"/>
  <c r="R26" i="18" s="1"/>
  <c r="J49" i="35"/>
  <c r="K49" i="35" s="1"/>
  <c r="Q45" i="34"/>
  <c r="R45" i="34" s="1"/>
  <c r="J47" i="35"/>
  <c r="K47" i="35" s="1"/>
  <c r="K58" i="35" s="1"/>
  <c r="J62" i="35" s="1"/>
  <c r="J64" i="35" s="1"/>
  <c r="Q43" i="34"/>
  <c r="R43" i="34" s="1"/>
  <c r="AA22" i="18"/>
  <c r="Q22" i="18" s="1"/>
  <c r="Z25" i="18"/>
  <c r="AC25" i="18" s="1"/>
  <c r="S25" i="18" s="1"/>
  <c r="Y25" i="18"/>
  <c r="AB25" i="18" s="1"/>
  <c r="R25" i="18" s="1"/>
  <c r="AC30" i="18"/>
  <c r="S30" i="18" s="1"/>
  <c r="AB16" i="18"/>
  <c r="R16" i="18" s="1"/>
  <c r="AB13" i="18"/>
  <c r="R13" i="18" s="1"/>
  <c r="AB30" i="18"/>
  <c r="R30" i="18" s="1"/>
  <c r="AC23" i="18"/>
  <c r="S23" i="18" s="1"/>
  <c r="AC39" i="18"/>
  <c r="S39" i="18" s="1"/>
  <c r="AV77" i="1"/>
  <c r="S72" i="6"/>
  <c r="T72" i="6"/>
  <c r="AA16" i="18"/>
  <c r="Q16" i="18" s="1"/>
  <c r="AB37" i="18"/>
  <c r="R37" i="18" s="1"/>
  <c r="AA11" i="18"/>
  <c r="Q11" i="18" s="1"/>
  <c r="AV46" i="1"/>
  <c r="AB32" i="18"/>
  <c r="R32" i="18" s="1"/>
  <c r="AA31" i="18"/>
  <c r="Q31" i="18" s="1"/>
  <c r="AB24" i="18"/>
  <c r="R24" i="18" s="1"/>
  <c r="AC38" i="18"/>
  <c r="S38" i="18" s="1"/>
  <c r="AC35" i="18"/>
  <c r="S35" i="18" s="1"/>
  <c r="AC22" i="18"/>
  <c r="S22" i="18" s="1"/>
  <c r="AB14" i="18"/>
  <c r="R14" i="18" s="1"/>
  <c r="AA32" i="18"/>
  <c r="Q32" i="18" s="1"/>
  <c r="AC57" i="1"/>
  <c r="S57" i="1" s="1"/>
  <c r="AW55" i="1"/>
  <c r="AV55" i="1"/>
  <c r="C45" i="24"/>
  <c r="C43" i="24"/>
  <c r="AB39" i="18"/>
  <c r="R39" i="18" s="1"/>
  <c r="AA38" i="18"/>
  <c r="Q38" i="18" s="1"/>
  <c r="AA25" i="18"/>
  <c r="Q25" i="18" s="1"/>
  <c r="AA24" i="18"/>
  <c r="Q24" i="18" s="1"/>
  <c r="AC34" i="18"/>
  <c r="S34" i="18" s="1"/>
  <c r="AA29" i="18"/>
  <c r="Q29" i="18" s="1"/>
  <c r="AW41" i="1"/>
  <c r="AV45" i="1"/>
  <c r="AC32" i="18"/>
  <c r="S32" i="18" s="1"/>
  <c r="I32" i="19"/>
  <c r="H32" i="19"/>
  <c r="T32" i="19"/>
  <c r="J32" i="19" s="1"/>
  <c r="AA23" i="18"/>
  <c r="Q23" i="18" s="1"/>
  <c r="AB23" i="18"/>
  <c r="R23" i="18" s="1"/>
  <c r="H23" i="19"/>
  <c r="F80" i="19"/>
  <c r="I23" i="19"/>
  <c r="T23" i="19"/>
  <c r="J23" i="19" s="1"/>
  <c r="AQ81" i="18"/>
  <c r="AB13" i="1"/>
  <c r="R13" i="1" s="1"/>
  <c r="AA26" i="1"/>
  <c r="Q26" i="1" s="1"/>
  <c r="AB62" i="1"/>
  <c r="R62" i="1" s="1"/>
  <c r="AB22" i="1"/>
  <c r="R22" i="1" s="1"/>
  <c r="AV22" i="1" s="1"/>
  <c r="AA22" i="1"/>
  <c r="Q22" i="1" s="1"/>
  <c r="AU41" i="1"/>
  <c r="Y33" i="1"/>
  <c r="AB33" i="1" s="1"/>
  <c r="R33" i="1" s="1"/>
  <c r="AA35" i="1"/>
  <c r="Q35" i="1" s="1"/>
  <c r="AU35" i="1" s="1"/>
  <c r="AC31" i="1"/>
  <c r="S31" i="1" s="1"/>
  <c r="AB20" i="1"/>
  <c r="R20" i="1" s="1"/>
  <c r="AW45" i="1"/>
  <c r="Z24" i="1"/>
  <c r="AC24" i="1" s="1"/>
  <c r="S24" i="1" s="1"/>
  <c r="AW24" i="1" s="1"/>
  <c r="Y24" i="1"/>
  <c r="AB24" i="1" s="1"/>
  <c r="R24" i="1" s="1"/>
  <c r="AC23" i="1"/>
  <c r="S23" i="1" s="1"/>
  <c r="AW28" i="1"/>
  <c r="AA24" i="1"/>
  <c r="Q24" i="1" s="1"/>
  <c r="AB17" i="1"/>
  <c r="R17" i="1" s="1"/>
  <c r="AA25" i="1"/>
  <c r="Q25" i="1" s="1"/>
  <c r="AC35" i="1"/>
  <c r="S35" i="1" s="1"/>
  <c r="AB12" i="1"/>
  <c r="R12" i="1" s="1"/>
  <c r="AC38" i="1"/>
  <c r="S38" i="1" s="1"/>
  <c r="X33" i="1"/>
  <c r="AA33" i="1" s="1"/>
  <c r="Q33" i="1" s="1"/>
  <c r="AU33" i="1" s="1"/>
  <c r="AB26" i="1"/>
  <c r="R26" i="1" s="1"/>
  <c r="AC33" i="1"/>
  <c r="S33" i="1" s="1"/>
  <c r="AW58" i="1"/>
  <c r="AA36" i="1"/>
  <c r="Q36" i="1" s="1"/>
  <c r="AW77" i="1"/>
  <c r="AB14" i="1"/>
  <c r="R14" i="1" s="1"/>
  <c r="AA32" i="1"/>
  <c r="Q32" i="1" s="1"/>
  <c r="AB18" i="1"/>
  <c r="R18" i="1" s="1"/>
  <c r="AA20" i="1"/>
  <c r="Q20" i="1" s="1"/>
  <c r="AA21" i="1"/>
  <c r="Q21" i="1" s="1"/>
  <c r="AU21" i="1" s="1"/>
  <c r="AA23" i="1"/>
  <c r="Q23" i="1" s="1"/>
  <c r="Z37" i="1"/>
  <c r="AC37" i="1" s="1"/>
  <c r="S37" i="1" s="1"/>
  <c r="AU48" i="1"/>
  <c r="AA10" i="18"/>
  <c r="Q10" i="18" s="1"/>
  <c r="AB10" i="1"/>
  <c r="R10" i="1" s="1"/>
  <c r="Z10" i="1"/>
  <c r="AC10" i="1" s="1"/>
  <c r="S10" i="1" s="1"/>
  <c r="X10" i="1"/>
  <c r="AA10" i="1" s="1"/>
  <c r="Q10" i="1" s="1"/>
  <c r="Y10" i="18"/>
  <c r="AB10" i="18" s="1"/>
  <c r="R10" i="18" s="1"/>
  <c r="Z10" i="18"/>
  <c r="AC10" i="18" s="1"/>
  <c r="S10" i="18" s="1"/>
  <c r="AB31" i="1"/>
  <c r="R31" i="1" s="1"/>
  <c r="AC26" i="1"/>
  <c r="S26" i="1" s="1"/>
  <c r="AW26" i="1" s="1"/>
  <c r="AC12" i="1"/>
  <c r="S12" i="1" s="1"/>
  <c r="AA12" i="1"/>
  <c r="Q12" i="1" s="1"/>
  <c r="AB35" i="1"/>
  <c r="R35" i="1" s="1"/>
  <c r="AV35" i="1" s="1"/>
  <c r="AA16" i="1"/>
  <c r="Q16" i="1" s="1"/>
  <c r="AC22" i="1"/>
  <c r="S22" i="1" s="1"/>
  <c r="AC16" i="1"/>
  <c r="S16" i="1" s="1"/>
  <c r="AW16" i="1" s="1"/>
  <c r="AB16" i="1"/>
  <c r="R16" i="1" s="1"/>
  <c r="AC34" i="1"/>
  <c r="S34" i="1" s="1"/>
  <c r="AA34" i="1"/>
  <c r="Q34" i="1" s="1"/>
  <c r="X17" i="1"/>
  <c r="AA17" i="1" s="1"/>
  <c r="Q17" i="1" s="1"/>
  <c r="Z17" i="1"/>
  <c r="AC17" i="1" s="1"/>
  <c r="S17" i="1" s="1"/>
  <c r="X18" i="1"/>
  <c r="AA18" i="1" s="1"/>
  <c r="Q18" i="1" s="1"/>
  <c r="AB34" i="1"/>
  <c r="R34" i="1" s="1"/>
  <c r="Y21" i="1"/>
  <c r="AB21" i="1" s="1"/>
  <c r="R21" i="1" s="1"/>
  <c r="AC15" i="1"/>
  <c r="S15" i="1" s="1"/>
  <c r="Z40" i="1"/>
  <c r="AC40" i="1" s="1"/>
  <c r="S40" i="1" s="1"/>
  <c r="AA31" i="1"/>
  <c r="Q31" i="1" s="1"/>
  <c r="AB29" i="1"/>
  <c r="R29" i="1" s="1"/>
  <c r="AV28" i="1"/>
  <c r="AU56" i="1"/>
  <c r="AA29" i="1"/>
  <c r="Q29" i="1" s="1"/>
  <c r="AB23" i="1"/>
  <c r="R23" i="1" s="1"/>
  <c r="AC29" i="1"/>
  <c r="S29" i="1" s="1"/>
  <c r="AW29" i="1" s="1"/>
  <c r="AA37" i="1"/>
  <c r="Q37" i="1" s="1"/>
  <c r="AV27" i="1"/>
  <c r="Z12" i="18"/>
  <c r="AC12" i="18" s="1"/>
  <c r="S12" i="18" s="1"/>
  <c r="AU27" i="1"/>
  <c r="Z21" i="1"/>
  <c r="AC21" i="1" s="1"/>
  <c r="S21" i="1" s="1"/>
  <c r="Z18" i="1"/>
  <c r="AC18" i="1" s="1"/>
  <c r="S18" i="1" s="1"/>
  <c r="X57" i="1"/>
  <c r="AA57" i="1" s="1"/>
  <c r="Q57" i="1" s="1"/>
  <c r="Y57" i="1"/>
  <c r="AB57" i="1" s="1"/>
  <c r="R57" i="1" s="1"/>
  <c r="AU53" i="1"/>
  <c r="Y15" i="1"/>
  <c r="AB15" i="1" s="1"/>
  <c r="R15" i="1" s="1"/>
  <c r="Y38" i="1"/>
  <c r="AB38" i="1" s="1"/>
  <c r="R38" i="1" s="1"/>
  <c r="AV38" i="1" s="1"/>
  <c r="X38" i="1"/>
  <c r="AA38" i="1" s="1"/>
  <c r="Q38" i="1" s="1"/>
  <c r="X13" i="18"/>
  <c r="AA13" i="18" s="1"/>
  <c r="Q13" i="18" s="1"/>
  <c r="Z13" i="18"/>
  <c r="AC13" i="18" s="1"/>
  <c r="S13" i="18" s="1"/>
  <c r="AW50" i="1"/>
  <c r="Y21" i="18"/>
  <c r="AB21" i="18" s="1"/>
  <c r="R21" i="18" s="1"/>
  <c r="AU73" i="1"/>
  <c r="Z21" i="18"/>
  <c r="AC21" i="18" s="1"/>
  <c r="S21" i="18" s="1"/>
  <c r="AW44" i="1"/>
  <c r="AU47" i="1"/>
  <c r="AW56" i="1"/>
  <c r="Z13" i="1"/>
  <c r="AC13" i="1" s="1"/>
  <c r="S13" i="1" s="1"/>
  <c r="X13" i="1"/>
  <c r="AA13" i="1" s="1"/>
  <c r="Q13" i="1" s="1"/>
  <c r="Y37" i="1"/>
  <c r="AB37" i="1" s="1"/>
  <c r="R37" i="1" s="1"/>
  <c r="AW73" i="1"/>
  <c r="AW48" i="1"/>
  <c r="AV68" i="1"/>
  <c r="AV74" i="1"/>
  <c r="AV56" i="1"/>
  <c r="AW52" i="1"/>
  <c r="AW43" i="1"/>
  <c r="AU64" i="1"/>
  <c r="Y11" i="1"/>
  <c r="AB11" i="1" s="1"/>
  <c r="R11" i="1" s="1"/>
  <c r="Z11" i="1"/>
  <c r="AC11" i="1" s="1"/>
  <c r="S11" i="1" s="1"/>
  <c r="X14" i="1"/>
  <c r="AA14" i="1" s="1"/>
  <c r="Q14" i="1" s="1"/>
  <c r="Z14" i="1"/>
  <c r="AC14" i="1" s="1"/>
  <c r="S14" i="1" s="1"/>
  <c r="AW46" i="1"/>
  <c r="AV51" i="1"/>
  <c r="AW59" i="1"/>
  <c r="AV64" i="1"/>
  <c r="X15" i="1"/>
  <c r="AA15" i="1" s="1"/>
  <c r="Q15" i="1" s="1"/>
  <c r="X11" i="1"/>
  <c r="AA11" i="1" s="1"/>
  <c r="Q11" i="1" s="1"/>
  <c r="AW66" i="1"/>
  <c r="AV75" i="1"/>
  <c r="Z32" i="1"/>
  <c r="AC32" i="1" s="1"/>
  <c r="S32" i="1" s="1"/>
  <c r="Y32" i="1"/>
  <c r="AB32" i="1" s="1"/>
  <c r="R32" i="1" s="1"/>
  <c r="AV58" i="1"/>
  <c r="AU74" i="1"/>
  <c r="AV72" i="1"/>
  <c r="AV66" i="1"/>
  <c r="AW65" i="1"/>
  <c r="AV67" i="1"/>
  <c r="AV63" i="1"/>
  <c r="AW51" i="1"/>
  <c r="AU63" i="1"/>
  <c r="AV41" i="1"/>
  <c r="AU60" i="1"/>
  <c r="AW63" i="1"/>
  <c r="AV60" i="1"/>
  <c r="AV50" i="1"/>
  <c r="Y40" i="1"/>
  <c r="AB40" i="1" s="1"/>
  <c r="R40" i="1" s="1"/>
  <c r="AV44" i="1"/>
  <c r="AU58" i="1"/>
  <c r="AV73" i="1"/>
  <c r="AV42" i="1"/>
  <c r="AW69" i="1"/>
  <c r="AW60" i="1"/>
  <c r="AW74" i="1"/>
  <c r="AW67" i="1"/>
  <c r="AV78" i="1"/>
  <c r="AC57" i="18"/>
  <c r="S57" i="18" s="1"/>
  <c r="X57" i="18"/>
  <c r="AA57" i="18" s="1"/>
  <c r="Q57" i="18" s="1"/>
  <c r="Y57" i="18"/>
  <c r="AB57" i="18" s="1"/>
  <c r="R57" i="18" s="1"/>
  <c r="X14" i="18"/>
  <c r="AA14" i="18" s="1"/>
  <c r="Q14" i="18" s="1"/>
  <c r="Z14" i="18"/>
  <c r="AC14" i="18" s="1"/>
  <c r="S14" i="18" s="1"/>
  <c r="Y12" i="18"/>
  <c r="AB12" i="18" s="1"/>
  <c r="R12" i="18" s="1"/>
  <c r="Y11" i="18"/>
  <c r="AB11" i="18" s="1"/>
  <c r="R11" i="18" s="1"/>
  <c r="Y15" i="18"/>
  <c r="AB15" i="18" s="1"/>
  <c r="R15" i="18" s="1"/>
  <c r="Z11" i="18"/>
  <c r="AC11" i="18" s="1"/>
  <c r="S11" i="18" s="1"/>
  <c r="X15" i="18"/>
  <c r="AA15" i="18" s="1"/>
  <c r="Q15" i="18" s="1"/>
  <c r="AU52" i="1"/>
  <c r="AV43" i="1"/>
  <c r="AB40" i="18"/>
  <c r="R40" i="18" s="1"/>
  <c r="AU72" i="1"/>
  <c r="X17" i="18"/>
  <c r="AA17" i="18" s="1"/>
  <c r="Q17" i="18" s="1"/>
  <c r="AV69" i="1"/>
  <c r="Y17" i="18"/>
  <c r="AB17" i="18" s="1"/>
  <c r="R17" i="18" s="1"/>
  <c r="AW54" i="1"/>
  <c r="AV47" i="1"/>
  <c r="Y36" i="1"/>
  <c r="AB36" i="1" s="1"/>
  <c r="R36" i="1" s="1"/>
  <c r="AU67" i="1"/>
  <c r="AU70" i="1"/>
  <c r="AV52" i="1"/>
  <c r="AU75" i="1"/>
  <c r="AV71" i="1"/>
  <c r="AV65" i="1"/>
  <c r="AW47" i="1"/>
  <c r="Z36" i="1"/>
  <c r="AC36" i="1" s="1"/>
  <c r="S36" i="1" s="1"/>
  <c r="AW78" i="1"/>
  <c r="AW53" i="1"/>
  <c r="AW76" i="1"/>
  <c r="AU76" i="1"/>
  <c r="AU51" i="1"/>
  <c r="AV59" i="1"/>
  <c r="AU55" i="1"/>
  <c r="AW68" i="1"/>
  <c r="AV48" i="1"/>
  <c r="AV70" i="1"/>
  <c r="Z30" i="1"/>
  <c r="AC30" i="1" s="1"/>
  <c r="S30" i="1" s="1"/>
  <c r="Y30" i="1"/>
  <c r="AB30" i="1" s="1"/>
  <c r="R30" i="1" s="1"/>
  <c r="X30" i="1"/>
  <c r="AA30" i="1" s="1"/>
  <c r="Q30" i="1" s="1"/>
  <c r="AU30" i="1" s="1"/>
  <c r="Y25" i="1"/>
  <c r="AB25" i="1" s="1"/>
  <c r="R25" i="1" s="1"/>
  <c r="Z25" i="1"/>
  <c r="AC25" i="1" s="1"/>
  <c r="S25" i="1" s="1"/>
  <c r="AV49" i="1"/>
  <c r="AA40" i="1"/>
  <c r="Q40" i="1" s="1"/>
  <c r="AW49" i="1"/>
  <c r="AU42" i="1"/>
  <c r="X37" i="18"/>
  <c r="AA37" i="18" s="1"/>
  <c r="Q37" i="18" s="1"/>
  <c r="Y34" i="18"/>
  <c r="AB34" i="18" s="1"/>
  <c r="R34" i="18" s="1"/>
  <c r="X34" i="18"/>
  <c r="AA34" i="18" s="1"/>
  <c r="Q34" i="18" s="1"/>
  <c r="Z19" i="18"/>
  <c r="AC19" i="18" s="1"/>
  <c r="S19" i="18" s="1"/>
  <c r="X19" i="18"/>
  <c r="AA19" i="18" s="1"/>
  <c r="Q19" i="18" s="1"/>
  <c r="Y19" i="18"/>
  <c r="AB19" i="18" s="1"/>
  <c r="R19" i="18" s="1"/>
  <c r="AC40" i="18"/>
  <c r="S40" i="18" s="1"/>
  <c r="Z37" i="18"/>
  <c r="AC37" i="18" s="1"/>
  <c r="S37" i="18" s="1"/>
  <c r="AA40" i="18"/>
  <c r="Q40" i="18" s="1"/>
  <c r="W80" i="18"/>
  <c r="Y62" i="18"/>
  <c r="AB62" i="18" s="1"/>
  <c r="R62" i="18" s="1"/>
  <c r="Z62" i="18"/>
  <c r="AC62" i="18" s="1"/>
  <c r="S62" i="18" s="1"/>
  <c r="AW62" i="1" s="1"/>
  <c r="X62" i="18"/>
  <c r="AA62" i="18" s="1"/>
  <c r="Q62" i="18" s="1"/>
  <c r="AU62" i="1" s="1"/>
  <c r="U80" i="18"/>
  <c r="D15" i="28" s="1"/>
  <c r="Y20" i="18"/>
  <c r="X20" i="18"/>
  <c r="AA20" i="18" s="1"/>
  <c r="Q20" i="18" s="1"/>
  <c r="Z20" i="18"/>
  <c r="AC20" i="18" s="1"/>
  <c r="S20" i="18" s="1"/>
  <c r="AW20" i="1" s="1"/>
  <c r="V80" i="18"/>
  <c r="D10" i="33" s="1"/>
  <c r="AA12" i="18"/>
  <c r="Q12" i="18" s="1"/>
  <c r="Z36" i="18"/>
  <c r="AC36" i="18" s="1"/>
  <c r="S36" i="18" s="1"/>
  <c r="X36" i="18"/>
  <c r="AA36" i="18" s="1"/>
  <c r="Q36" i="18" s="1"/>
  <c r="Y36" i="18"/>
  <c r="AB36" i="18" s="1"/>
  <c r="R36" i="18" s="1"/>
  <c r="AA49" i="1"/>
  <c r="Q49" i="1" s="1"/>
  <c r="AU49" i="1" s="1"/>
  <c r="U80" i="1"/>
  <c r="Q42" i="24"/>
  <c r="R42" i="24" s="1"/>
  <c r="X39" i="1"/>
  <c r="AA39" i="1" s="1"/>
  <c r="Q39" i="1" s="1"/>
  <c r="AU39" i="1" s="1"/>
  <c r="Y39" i="1"/>
  <c r="AB39" i="1" s="1"/>
  <c r="R39" i="1" s="1"/>
  <c r="AV39" i="1" s="1"/>
  <c r="Z39" i="1"/>
  <c r="AC39" i="1" s="1"/>
  <c r="S39" i="1" s="1"/>
  <c r="V80" i="1"/>
  <c r="D10" i="28" s="1"/>
  <c r="Y19" i="1"/>
  <c r="Z19" i="1"/>
  <c r="AC19" i="1" s="1"/>
  <c r="S19" i="1" s="1"/>
  <c r="X19" i="1"/>
  <c r="AA19" i="1" s="1"/>
  <c r="Q19" i="1" s="1"/>
  <c r="W80" i="1"/>
  <c r="Q73" i="6"/>
  <c r="D47" i="28" s="1"/>
  <c r="AV29" i="1" l="1"/>
  <c r="AW17" i="1"/>
  <c r="R56" i="34"/>
  <c r="R58" i="34" s="1"/>
  <c r="R59" i="34" s="1"/>
  <c r="C5" i="34" s="1"/>
  <c r="AV18" i="1"/>
  <c r="AU26" i="1"/>
  <c r="AU22" i="1"/>
  <c r="AW33" i="1"/>
  <c r="AW31" i="1"/>
  <c r="AU31" i="1"/>
  <c r="AU11" i="1"/>
  <c r="AW18" i="1"/>
  <c r="AW22" i="1"/>
  <c r="AV31" i="1"/>
  <c r="AV26" i="1"/>
  <c r="AW15" i="1"/>
  <c r="AV33" i="1"/>
  <c r="AV25" i="1"/>
  <c r="J49" i="25"/>
  <c r="K49" i="25" s="1"/>
  <c r="Q45" i="24"/>
  <c r="R45" i="24" s="1"/>
  <c r="J47" i="25"/>
  <c r="K47" i="25" s="1"/>
  <c r="Q43" i="24"/>
  <c r="AV13" i="1"/>
  <c r="AV30" i="1"/>
  <c r="AW30" i="1"/>
  <c r="Q56" i="34"/>
  <c r="Q58" i="34" s="1"/>
  <c r="T76" i="6"/>
  <c r="D46" i="33"/>
  <c r="D50" i="33" s="1"/>
  <c r="S76" i="6"/>
  <c r="F46" i="33"/>
  <c r="F50" i="33" s="1"/>
  <c r="F31" i="33" s="1"/>
  <c r="F35" i="33" s="1"/>
  <c r="J28" i="33" s="1"/>
  <c r="J29" i="33" s="1"/>
  <c r="AV16" i="1"/>
  <c r="AW23" i="1"/>
  <c r="AW25" i="1"/>
  <c r="AU32" i="1"/>
  <c r="AW38" i="1"/>
  <c r="AV37" i="1"/>
  <c r="AW35" i="1"/>
  <c r="AW39" i="1"/>
  <c r="AV32" i="1"/>
  <c r="AV24" i="1"/>
  <c r="AW57" i="1"/>
  <c r="AU16" i="1"/>
  <c r="AW34" i="1"/>
  <c r="AU18" i="1"/>
  <c r="AV14" i="1"/>
  <c r="AU24" i="1"/>
  <c r="AU25" i="1"/>
  <c r="AU38" i="1"/>
  <c r="AU29" i="1"/>
  <c r="AW32" i="1"/>
  <c r="AU23" i="1"/>
  <c r="I80" i="19"/>
  <c r="I82" i="19" s="1"/>
  <c r="AV23" i="1"/>
  <c r="AU12" i="1"/>
  <c r="AV62" i="1"/>
  <c r="AV17" i="1"/>
  <c r="AW37" i="1"/>
  <c r="AV12" i="1"/>
  <c r="AU36" i="1"/>
  <c r="AU20" i="1"/>
  <c r="AV15" i="1"/>
  <c r="AU17" i="1"/>
  <c r="AV11" i="1"/>
  <c r="AW12" i="1"/>
  <c r="AU37" i="1"/>
  <c r="AW10" i="1"/>
  <c r="AV10" i="1"/>
  <c r="AU10" i="1"/>
  <c r="AW40" i="1"/>
  <c r="AU34" i="1"/>
  <c r="AV34" i="1"/>
  <c r="AV21" i="1"/>
  <c r="AU13" i="1"/>
  <c r="AV57" i="1"/>
  <c r="AU57" i="1"/>
  <c r="AW13" i="1"/>
  <c r="AU15" i="1"/>
  <c r="AW21" i="1"/>
  <c r="AU14" i="1"/>
  <c r="AW14" i="1"/>
  <c r="AV36" i="1"/>
  <c r="AU19" i="1"/>
  <c r="AW11" i="1"/>
  <c r="R43" i="24"/>
  <c r="AU40" i="1"/>
  <c r="AW36" i="1"/>
  <c r="AV40" i="1"/>
  <c r="AW19" i="1"/>
  <c r="Y80" i="18"/>
  <c r="AB20" i="18"/>
  <c r="R20" i="18" s="1"/>
  <c r="AV20" i="1" s="1"/>
  <c r="Z80" i="18"/>
  <c r="AC80" i="18" s="1"/>
  <c r="S80" i="18" s="1"/>
  <c r="X80" i="18"/>
  <c r="AB19" i="1"/>
  <c r="R19" i="1" s="1"/>
  <c r="AV19" i="1" s="1"/>
  <c r="Y80" i="1"/>
  <c r="D11" i="28" s="1"/>
  <c r="D12" i="28" s="1"/>
  <c r="X80" i="1"/>
  <c r="AA80" i="1" s="1"/>
  <c r="Q80" i="1" s="1"/>
  <c r="H1" i="1" s="1"/>
  <c r="N1" i="32" s="1"/>
  <c r="Z80" i="1"/>
  <c r="AC80" i="1" s="1"/>
  <c r="S80" i="1" s="1"/>
  <c r="L1" i="1" s="1"/>
  <c r="K58" i="25" l="1"/>
  <c r="J62" i="25" s="1"/>
  <c r="J64" i="25" s="1"/>
  <c r="R56" i="24"/>
  <c r="R58" i="24" s="1"/>
  <c r="R59" i="24" s="1"/>
  <c r="C5" i="24" s="1"/>
  <c r="P58" i="34"/>
  <c r="P2" i="34" s="1"/>
  <c r="P4" i="34" s="1"/>
  <c r="C4" i="34" s="1"/>
  <c r="Q59" i="34"/>
  <c r="P59" i="34" s="1"/>
  <c r="D51" i="33"/>
  <c r="D33" i="33" s="1"/>
  <c r="E33" i="33" s="1"/>
  <c r="J19" i="33" s="1"/>
  <c r="D31" i="33"/>
  <c r="E31" i="33" s="1"/>
  <c r="J18" i="33" s="1"/>
  <c r="J31" i="33"/>
  <c r="J33" i="33" s="1"/>
  <c r="J34" i="33" s="1"/>
  <c r="L34" i="33" s="1"/>
  <c r="AB80" i="18"/>
  <c r="R80" i="18" s="1"/>
  <c r="J1" i="18" s="1"/>
  <c r="D11" i="33"/>
  <c r="D12" i="33" s="1"/>
  <c r="J13" i="33" s="1"/>
  <c r="J14" i="33" s="1"/>
  <c r="J17" i="33" s="1"/>
  <c r="J30" i="28"/>
  <c r="D16" i="28"/>
  <c r="D17" i="28" s="1"/>
  <c r="Q56" i="24"/>
  <c r="Q58" i="24" s="1"/>
  <c r="Q59" i="24" s="1"/>
  <c r="P59" i="24" s="1"/>
  <c r="L1" i="18"/>
  <c r="AW80" i="1"/>
  <c r="AA80" i="18"/>
  <c r="Q80" i="18" s="1"/>
  <c r="AB80" i="1"/>
  <c r="R80" i="1" s="1"/>
  <c r="J1" i="1" s="1"/>
  <c r="O1" i="32" s="1"/>
  <c r="G4" i="34" l="1"/>
  <c r="G7" i="34" s="1"/>
  <c r="G8" i="34" s="1"/>
  <c r="Q2" i="34"/>
  <c r="J24" i="33"/>
  <c r="L24" i="33" s="1"/>
  <c r="J20" i="33"/>
  <c r="J21" i="33" s="1"/>
  <c r="J25" i="33" s="1"/>
  <c r="L25" i="33" s="1"/>
  <c r="J35" i="33" s="1"/>
  <c r="P58" i="24"/>
  <c r="P2" i="24" s="1"/>
  <c r="G4" i="24" s="1"/>
  <c r="O1" i="18"/>
  <c r="AV80" i="1"/>
  <c r="H1" i="18"/>
  <c r="N1" i="18" s="1"/>
  <c r="AU80" i="1"/>
  <c r="G6" i="34" l="1"/>
  <c r="F4" i="34"/>
  <c r="F7" i="34"/>
  <c r="C39" i="34"/>
  <c r="B20" i="34"/>
  <c r="B39" i="34"/>
  <c r="C20" i="34"/>
  <c r="F8" i="34"/>
  <c r="G9" i="34"/>
  <c r="J65" i="35" s="1"/>
  <c r="K64" i="35" s="1"/>
  <c r="G6" i="24"/>
  <c r="F4" i="24"/>
  <c r="J27" i="28"/>
  <c r="G7" i="24"/>
  <c r="F7" i="24" s="1"/>
  <c r="Q2" i="24"/>
  <c r="P4" i="24"/>
  <c r="C4" i="24" s="1"/>
  <c r="G8" i="24" l="1"/>
  <c r="G9" i="24" s="1"/>
  <c r="J65" i="25" l="1"/>
  <c r="K64" i="25" s="1"/>
  <c r="B20" i="24"/>
  <c r="C39" i="24"/>
  <c r="B39" i="24"/>
  <c r="F8" i="24"/>
  <c r="C20" i="24"/>
  <c r="B76" i="6"/>
  <c r="F50" i="28"/>
  <c r="F31" i="28" s="1"/>
  <c r="F35" i="28" s="1"/>
  <c r="J28" i="28" s="1"/>
  <c r="J29" i="28" s="1"/>
  <c r="J31" i="28" s="1"/>
  <c r="J33" i="28" s="1"/>
  <c r="J34" i="28" s="1"/>
  <c r="R76" i="6" l="1"/>
  <c r="P76" i="6"/>
  <c r="Q76" i="6" l="1"/>
  <c r="D50" i="28"/>
  <c r="L34" i="28"/>
  <c r="D51" i="28" l="1"/>
  <c r="D31" i="28"/>
  <c r="E31" i="28" s="1"/>
  <c r="J18" i="28" s="1"/>
  <c r="D33" i="28" l="1"/>
  <c r="J24" i="28" s="1"/>
  <c r="J13" i="28"/>
  <c r="J14" i="28" s="1"/>
  <c r="J17" i="28" s="1"/>
  <c r="J20" i="28" s="1"/>
  <c r="J21" i="28" s="1"/>
  <c r="L24" i="28" l="1"/>
  <c r="J25" i="28" s="1"/>
  <c r="E33" i="28"/>
  <c r="J19" i="28" s="1"/>
  <c r="L25" i="28" l="1"/>
  <c r="J35" i="2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<sst xmlns="http://schemas.openxmlformats.org/spreadsheetml/2006/main" count="2105" uniqueCount="623">
  <si>
    <t>dusík (kg N/t)</t>
  </si>
  <si>
    <t>N</t>
  </si>
  <si>
    <t>kg N/ha</t>
  </si>
  <si>
    <t>Hnůj koňský</t>
  </si>
  <si>
    <t>Hnůj ovcí a koz</t>
  </si>
  <si>
    <t>Drůbeží trus - uleželý</t>
  </si>
  <si>
    <t>Drůbeží trus - sušený</t>
  </si>
  <si>
    <t>Drůbeží trus s podestýlkou</t>
  </si>
  <si>
    <t>chrást</t>
  </si>
  <si>
    <t>%</t>
  </si>
  <si>
    <t>SAG</t>
  </si>
  <si>
    <t>DAP Polidap</t>
  </si>
  <si>
    <t>SP 40</t>
  </si>
  <si>
    <t>Patenkali</t>
  </si>
  <si>
    <t>Kainit</t>
  </si>
  <si>
    <t>NPK 13-9-16-4</t>
  </si>
  <si>
    <t>NPK 7-20-28-2-3</t>
  </si>
  <si>
    <t>NP 26-14</t>
  </si>
  <si>
    <t xml:space="preserve">NP 20-20 </t>
  </si>
  <si>
    <t>EUROFERTILTOP 45 NPS</t>
  </si>
  <si>
    <t>DUOFERTIL TOP 43 NPS</t>
  </si>
  <si>
    <t>Ledek vápenatý (LV)</t>
  </si>
  <si>
    <t>Síran amonný (SA)</t>
  </si>
  <si>
    <t>LAS, SULFAN 24-6</t>
  </si>
  <si>
    <t>Dusíkatá hnojiva</t>
  </si>
  <si>
    <t>Fosforečná a NP hnojiva</t>
  </si>
  <si>
    <t>Draselná hnojiva</t>
  </si>
  <si>
    <t>Draselná sůl (DS)</t>
  </si>
  <si>
    <t>Vícesložková hnojiva</t>
  </si>
  <si>
    <t>t</t>
  </si>
  <si>
    <t>Obsah živin v hmotnostních %</t>
  </si>
  <si>
    <r>
      <t>P</t>
    </r>
    <r>
      <rPr>
        <b/>
        <vertAlign val="subscript"/>
        <sz val="11"/>
        <rFont val="Calibri"/>
        <family val="2"/>
        <charset val="238"/>
      </rPr>
      <t>2</t>
    </r>
    <r>
      <rPr>
        <b/>
        <sz val="11"/>
        <rFont val="Calibri"/>
        <family val="2"/>
        <charset val="238"/>
      </rPr>
      <t>O</t>
    </r>
    <r>
      <rPr>
        <b/>
        <vertAlign val="subscript"/>
        <sz val="11"/>
        <rFont val="Calibri"/>
        <family val="2"/>
        <charset val="238"/>
      </rPr>
      <t>5</t>
    </r>
  </si>
  <si>
    <r>
      <t>K</t>
    </r>
    <r>
      <rPr>
        <b/>
        <vertAlign val="subscript"/>
        <sz val="11"/>
        <rFont val="Calibri"/>
        <family val="2"/>
        <charset val="238"/>
      </rPr>
      <t>2</t>
    </r>
    <r>
      <rPr>
        <b/>
        <sz val="11"/>
        <rFont val="Calibri"/>
        <family val="2"/>
        <charset val="238"/>
      </rPr>
      <t>O</t>
    </r>
  </si>
  <si>
    <t>Síran draselný (SD)</t>
  </si>
  <si>
    <t>AMISAN, SAM</t>
  </si>
  <si>
    <t xml:space="preserve">ALZON NEO </t>
  </si>
  <si>
    <t xml:space="preserve">PIAMON </t>
  </si>
  <si>
    <t>DAM 390 (28)</t>
  </si>
  <si>
    <t>DAM 390 (30)</t>
  </si>
  <si>
    <t>NPK 15-15-15</t>
  </si>
  <si>
    <t xml:space="preserve">NPK 16-16-16 </t>
  </si>
  <si>
    <t>NPK 14-10-16-5</t>
  </si>
  <si>
    <t>NPK 12-7-16-4</t>
  </si>
  <si>
    <t>NPK 8-24-24-4</t>
  </si>
  <si>
    <t>NPK 9-12-25-2,6 + stp</t>
  </si>
  <si>
    <t>NPK 9-25-25</t>
  </si>
  <si>
    <t>PK 20-30</t>
  </si>
  <si>
    <t>NPK 12-24-12-2-2</t>
  </si>
  <si>
    <t>Amofos 12-52</t>
  </si>
  <si>
    <t>DASA 26-13</t>
  </si>
  <si>
    <t>DASA 25-12</t>
  </si>
  <si>
    <t>Dusičnan amonný (DA)</t>
  </si>
  <si>
    <t xml:space="preserve">UREA STABIL </t>
  </si>
  <si>
    <t>UREA S</t>
  </si>
  <si>
    <t xml:space="preserve">Močovina (MO) </t>
  </si>
  <si>
    <t>Trojitý superfosfát (TSF)</t>
  </si>
  <si>
    <t xml:space="preserve">Kamex </t>
  </si>
  <si>
    <t>Ledek amonný s dolomit. vápencem (LAD 27)</t>
  </si>
  <si>
    <t xml:space="preserve">Digestát </t>
  </si>
  <si>
    <r>
      <t>fosfor (kg P</t>
    </r>
    <r>
      <rPr>
        <b/>
        <sz val="11"/>
        <color indexed="8"/>
        <rFont val="Calibri"/>
        <family val="2"/>
        <charset val="238"/>
      </rPr>
      <t>/t)</t>
    </r>
  </si>
  <si>
    <t>% suš.</t>
  </si>
  <si>
    <r>
      <t>draslík (kg K</t>
    </r>
    <r>
      <rPr>
        <b/>
        <sz val="11"/>
        <color indexed="8"/>
        <rFont val="Calibri"/>
        <family val="2"/>
        <charset val="238"/>
      </rPr>
      <t>/t)</t>
    </r>
  </si>
  <si>
    <t>Cibule</t>
  </si>
  <si>
    <t xml:space="preserve">Celer </t>
  </si>
  <si>
    <t>Kapusta hlávková</t>
  </si>
  <si>
    <t>Kedluben</t>
  </si>
  <si>
    <t>Květák</t>
  </si>
  <si>
    <t>Mrkev</t>
  </si>
  <si>
    <t>Okurky</t>
  </si>
  <si>
    <t>Rajče</t>
  </si>
  <si>
    <t>Řepa salátová</t>
  </si>
  <si>
    <t>Špenát</t>
  </si>
  <si>
    <t>Zelí</t>
  </si>
  <si>
    <t>Obchodní závod</t>
  </si>
  <si>
    <t>Hospodářský rok</t>
  </si>
  <si>
    <t>Minerální hnojiva</t>
  </si>
  <si>
    <t>Položka</t>
  </si>
  <si>
    <t>Jetelotráva</t>
  </si>
  <si>
    <t>Vojtěškotráva</t>
  </si>
  <si>
    <t>Trávy s jetelovinami</t>
  </si>
  <si>
    <t>Ječmen ozimý</t>
  </si>
  <si>
    <t>Oves</t>
  </si>
  <si>
    <t>Tritikále</t>
  </si>
  <si>
    <t>Kukuřice na zrno</t>
  </si>
  <si>
    <t>Sója</t>
  </si>
  <si>
    <t>Mák</t>
  </si>
  <si>
    <t>Lnička setá</t>
  </si>
  <si>
    <t>Žito ozimé a jarní</t>
  </si>
  <si>
    <t>Lupina na zrno</t>
  </si>
  <si>
    <t>Slunečnice na semeno</t>
  </si>
  <si>
    <t>Hořčice na semeno</t>
  </si>
  <si>
    <t xml:space="preserve">Len </t>
  </si>
  <si>
    <t>Obsah sušiny</t>
  </si>
  <si>
    <t xml:space="preserve">Ostatní zelenina </t>
  </si>
  <si>
    <t>Fugát kejdy skotu</t>
  </si>
  <si>
    <t xml:space="preserve">Separát kejdy skotu </t>
  </si>
  <si>
    <t>Fugát kejdy prasat</t>
  </si>
  <si>
    <t>Separát kejdy prasat</t>
  </si>
  <si>
    <t>Fugát digestátu</t>
  </si>
  <si>
    <t xml:space="preserve">Separát digestátu nebo tuhý digestát </t>
  </si>
  <si>
    <t>kg/t</t>
  </si>
  <si>
    <t>ostatní</t>
  </si>
  <si>
    <t>Upravené kaly – celkem</t>
  </si>
  <si>
    <t>Organominerální hnojiva – celkem</t>
  </si>
  <si>
    <t>Organická hnojiva – celkem</t>
  </si>
  <si>
    <t>Statková hnojiva – aplikace celkem</t>
  </si>
  <si>
    <t>Močůvka skotu</t>
  </si>
  <si>
    <t xml:space="preserve">Močůvka prasat </t>
  </si>
  <si>
    <t>organická hnojiva</t>
  </si>
  <si>
    <t>organominerální hnojiva</t>
  </si>
  <si>
    <t>Hnůj skotu – telata, jalovice, býci</t>
  </si>
  <si>
    <t>Hnůj skotu – krávy dojené</t>
  </si>
  <si>
    <t>Hnůj skotu – směs hnoje od více kategorií skotu</t>
  </si>
  <si>
    <t>Hnůj skotu – skot bez tržní produkce mléka</t>
  </si>
  <si>
    <t>Hnůj prasat – předvýkrm</t>
  </si>
  <si>
    <t>Hnůj prasat – výkrm, prasničky, prasnice</t>
  </si>
  <si>
    <t>Kejda skotu – telata</t>
  </si>
  <si>
    <t>Kejda skotu – jalovice, býci</t>
  </si>
  <si>
    <t>Kejda skotu – krávy dojené</t>
  </si>
  <si>
    <t>Kejda skotu – směs kejdy od více kategorií skotu</t>
  </si>
  <si>
    <t>Kejda prasat – předvýkrm</t>
  </si>
  <si>
    <t>Kejda prasat – výkrm, prasničky</t>
  </si>
  <si>
    <t>Kejda prasat – prasnice</t>
  </si>
  <si>
    <t>Kejda prasat – směs kejdy od více kategorií prasat</t>
  </si>
  <si>
    <t>Drůbeží trus - čerstvý</t>
  </si>
  <si>
    <t>Hnůj králíků</t>
  </si>
  <si>
    <t>Kejda králíků</t>
  </si>
  <si>
    <t>Silážní šťávy ředěné</t>
  </si>
  <si>
    <t>Hnojůvka z hnoje skotu</t>
  </si>
  <si>
    <t>Hnojůvka z hnoje prasat</t>
  </si>
  <si>
    <t>Název</t>
  </si>
  <si>
    <t>sláma</t>
  </si>
  <si>
    <t>nať</t>
  </si>
  <si>
    <t>nať, listy</t>
  </si>
  <si>
    <t>stonky</t>
  </si>
  <si>
    <t>zelená hmota</t>
  </si>
  <si>
    <t>seno</t>
  </si>
  <si>
    <t>zrno</t>
  </si>
  <si>
    <t>hlízy</t>
  </si>
  <si>
    <t>bulvy</t>
  </si>
  <si>
    <t>hlízy, bulvy</t>
  </si>
  <si>
    <t>semeno</t>
  </si>
  <si>
    <t>Kmín a další plodiny na semeno</t>
  </si>
  <si>
    <t>ha</t>
  </si>
  <si>
    <t xml:space="preserve">Ostatní jednoleté pícniny na zeleno </t>
  </si>
  <si>
    <t>omlatky</t>
  </si>
  <si>
    <t xml:space="preserve"> ... z toho – sklizeň jetelovin na semeno</t>
  </si>
  <si>
    <t xml:space="preserve"> ... z toho – sklizeň trav na semeno</t>
  </si>
  <si>
    <t>Ostatní jednoleté luskoviny na zeleno</t>
  </si>
  <si>
    <r>
      <rPr>
        <sz val="11"/>
        <color theme="1"/>
        <rFont val="Calibri"/>
        <family val="2"/>
        <charset val="238"/>
        <scheme val="minor"/>
      </rPr>
      <t xml:space="preserve">nebo </t>
    </r>
    <r>
      <rPr>
        <b/>
        <sz val="11"/>
        <color indexed="8"/>
        <rFont val="Calibri"/>
        <family val="2"/>
        <charset val="238"/>
      </rPr>
      <t>Vložený průměrný výnos (t/ha)</t>
    </r>
  </si>
  <si>
    <t>Hlavní produkt</t>
  </si>
  <si>
    <t>Vedlejší produkt</t>
  </si>
  <si>
    <t xml:space="preserve">Obsah živin </t>
  </si>
  <si>
    <t>tuny hnojiv (zboží)</t>
  </si>
  <si>
    <t>Čirok na zeleno</t>
  </si>
  <si>
    <t>Hrách krmný na zeleno</t>
  </si>
  <si>
    <t>Ptačí noha na zeleno</t>
  </si>
  <si>
    <t>Luskovinoobilní směs na zeleno</t>
  </si>
  <si>
    <t>Krmná kapusta na zeleno</t>
  </si>
  <si>
    <t>Řepka na zeleno</t>
  </si>
  <si>
    <t>Hořčice na zeleno</t>
  </si>
  <si>
    <t>zelené zrno</t>
  </si>
  <si>
    <t>Hrách zahradní</t>
  </si>
  <si>
    <t>Fazol zahradní</t>
  </si>
  <si>
    <t>lusky</t>
  </si>
  <si>
    <t>Čirok na zrno</t>
  </si>
  <si>
    <t>Slunečnice na zeleno</t>
  </si>
  <si>
    <t>Vedlejší produkt (VP)</t>
  </si>
  <si>
    <r>
      <rPr>
        <b/>
        <sz val="11"/>
        <color indexed="8"/>
        <rFont val="Calibri"/>
        <family val="2"/>
        <charset val="238"/>
      </rPr>
      <t>Ce</t>
    </r>
    <r>
      <rPr>
        <b/>
        <sz val="11"/>
        <color indexed="8"/>
        <rFont val="Calibri"/>
        <family val="2"/>
        <charset val="238"/>
      </rPr>
      <t>lková sklizeň</t>
    </r>
    <r>
      <rPr>
        <sz val="11"/>
        <color theme="1"/>
        <rFont val="Calibri"/>
        <family val="2"/>
        <charset val="238"/>
        <scheme val="minor"/>
      </rPr>
      <t xml:space="preserve"> nebo </t>
    </r>
    <r>
      <rPr>
        <b/>
        <sz val="11"/>
        <color indexed="8"/>
        <rFont val="Calibri"/>
        <family val="2"/>
        <charset val="238"/>
      </rPr>
      <t>P</t>
    </r>
    <r>
      <rPr>
        <b/>
        <sz val="11"/>
        <color indexed="8"/>
        <rFont val="Calibri"/>
        <family val="2"/>
        <charset val="238"/>
      </rPr>
      <t>růměrný výnos</t>
    </r>
  </si>
  <si>
    <t>1,0 :</t>
  </si>
  <si>
    <t>K o n t r o l a</t>
  </si>
  <si>
    <t xml:space="preserve">Odvezený z pole </t>
  </si>
  <si>
    <t>kontrola:</t>
  </si>
  <si>
    <t>Jetel</t>
  </si>
  <si>
    <r>
      <t>Vojtěška</t>
    </r>
    <r>
      <rPr>
        <sz val="11"/>
        <color indexed="8"/>
        <rFont val="Calibri"/>
        <family val="2"/>
        <charset val="238"/>
      </rPr>
      <t xml:space="preserve"> </t>
    </r>
  </si>
  <si>
    <t>Celkem</t>
  </si>
  <si>
    <t>kg N, celkem</t>
  </si>
  <si>
    <t>v přepočtu na 35 % suš.</t>
  </si>
  <si>
    <t>sladovnický</t>
  </si>
  <si>
    <t>krmný</t>
  </si>
  <si>
    <t>potravinářská</t>
  </si>
  <si>
    <t>nepotravinářská</t>
  </si>
  <si>
    <t>rané</t>
  </si>
  <si>
    <t xml:space="preserve">Ječmen jarní </t>
  </si>
  <si>
    <t xml:space="preserve">Brambory </t>
  </si>
  <si>
    <t>Energetické plodiny (ostatní)</t>
  </si>
  <si>
    <t>Trávy na orné půdě</t>
  </si>
  <si>
    <t>Ostatní čisté jeteloviny</t>
  </si>
  <si>
    <t>na zelené zrno</t>
  </si>
  <si>
    <t>na lusky</t>
  </si>
  <si>
    <r>
      <t xml:space="preserve">Sklizeň (t) – výpočet podle poměru HP a VP </t>
    </r>
    <r>
      <rPr>
        <sz val="11"/>
        <color indexed="8"/>
        <rFont val="Calibri"/>
        <family val="2"/>
        <charset val="238"/>
      </rPr>
      <t>(legislativa)</t>
    </r>
  </si>
  <si>
    <r>
      <t xml:space="preserve">Poměr 
HP : VP
</t>
    </r>
    <r>
      <rPr>
        <sz val="11"/>
        <color indexed="8"/>
        <rFont val="Calibri"/>
        <family val="2"/>
        <charset val="238"/>
      </rPr>
      <t>(legislativa)</t>
    </r>
  </si>
  <si>
    <r>
      <t xml:space="preserve">Sklizeň (t) – vlastní údaj </t>
    </r>
    <r>
      <rPr>
        <sz val="11"/>
        <color indexed="8"/>
        <rFont val="Calibri"/>
        <family val="2"/>
        <charset val="238"/>
      </rPr>
      <t>(skutečnost)</t>
    </r>
  </si>
  <si>
    <r>
      <t xml:space="preserve">Poměr 
HP : VP
</t>
    </r>
    <r>
      <rPr>
        <sz val="11"/>
        <color indexed="8"/>
        <rFont val="Calibri"/>
        <family val="2"/>
        <charset val="238"/>
      </rPr>
      <t>(skutečnost)</t>
    </r>
  </si>
  <si>
    <r>
      <t xml:space="preserve">Plocha plodin </t>
    </r>
    <r>
      <rPr>
        <sz val="11"/>
        <color theme="1"/>
        <rFont val="Calibri"/>
        <family val="2"/>
        <charset val="238"/>
        <scheme val="minor"/>
      </rPr>
      <t>(včetně překryvů)</t>
    </r>
  </si>
  <si>
    <t>Plocha 
(ha)</t>
  </si>
  <si>
    <r>
      <rPr>
        <sz val="11"/>
        <color theme="1"/>
        <rFont val="Calibri"/>
        <family val="2"/>
        <charset val="238"/>
        <scheme val="minor"/>
      </rPr>
      <t xml:space="preserve">buď </t>
    </r>
    <r>
      <rPr>
        <b/>
        <sz val="11"/>
        <color indexed="8"/>
        <rFont val="Calibri"/>
        <family val="2"/>
        <charset val="238"/>
      </rPr>
      <t>Celková sklizeň 
(t)</t>
    </r>
  </si>
  <si>
    <t xml:space="preserve">    Obchodní závod </t>
  </si>
  <si>
    <t xml:space="preserve">    Zpracoval</t>
  </si>
  <si>
    <t xml:space="preserve">    Sklizňový rok </t>
  </si>
  <si>
    <t>upravené kaly</t>
  </si>
  <si>
    <t>celkem, tuny živin</t>
  </si>
  <si>
    <t xml:space="preserve">Kompost </t>
  </si>
  <si>
    <t>Vypočtený průměrný výnos 
(t/ha)</t>
  </si>
  <si>
    <t>Hlavní produkt (HP), "v čistém"</t>
  </si>
  <si>
    <t>v přepočtu na 17 % suš.</t>
  </si>
  <si>
    <t>2024/2025</t>
  </si>
  <si>
    <t xml:space="preserve">Překryvy, příp. chyby (+) nebo nedoplnění (-) plodin </t>
  </si>
  <si>
    <t>Rok podání žádosti</t>
  </si>
  <si>
    <t>t P</t>
  </si>
  <si>
    <t>Koeficient</t>
  </si>
  <si>
    <t>Sklizené hlavní produkty</t>
  </si>
  <si>
    <t>Sklizené vedlejší produkty</t>
  </si>
  <si>
    <t>Obsah přístupného fosforu v půdě</t>
  </si>
  <si>
    <t>Organická hnojiva</t>
  </si>
  <si>
    <t>Organominerální hnojiva</t>
  </si>
  <si>
    <t>Upravené kaly</t>
  </si>
  <si>
    <t xml:space="preserve">   Nízký (N)</t>
  </si>
  <si>
    <t xml:space="preserve">   Vyhovující (VH)</t>
  </si>
  <si>
    <t xml:space="preserve">   Dobrý (D)</t>
  </si>
  <si>
    <t xml:space="preserve">   Vysoký (V)</t>
  </si>
  <si>
    <t xml:space="preserve">   Velmi vysoký (VV)</t>
  </si>
  <si>
    <t>(pro sklizeň hlavních plodin, příp. i meziplodin)</t>
  </si>
  <si>
    <t>Řepa cukrová</t>
  </si>
  <si>
    <t>Řepa krmná</t>
  </si>
  <si>
    <r>
      <t xml:space="preserve">Orná půda 
</t>
    </r>
    <r>
      <rPr>
        <sz val="11"/>
        <rFont val="Calibri"/>
        <family val="2"/>
        <charset val="238"/>
      </rPr>
      <t>(kultury R, G, U)</t>
    </r>
  </si>
  <si>
    <r>
      <t>Průměrné hodnoty</t>
    </r>
    <r>
      <rPr>
        <sz val="11"/>
        <color indexed="8"/>
        <rFont val="Calibri"/>
        <family val="2"/>
        <charset val="238"/>
      </rPr>
      <t xml:space="preserve"> 
(vyhl. č. 377/2013 Sb., příloha č. 3)</t>
    </r>
  </si>
  <si>
    <r>
      <t>Prům. hodnoty</t>
    </r>
    <r>
      <rPr>
        <sz val="11"/>
        <rFont val="Calibri"/>
        <family val="2"/>
        <charset val="238"/>
      </rPr>
      <t xml:space="preserve"> (vyhl. č. 377/2013 Sb., příl. č. 3)</t>
    </r>
  </si>
  <si>
    <t>celkem, tuny hnojiv</t>
  </si>
  <si>
    <r>
      <t xml:space="preserve">Dodání živin na orné půdě
</t>
    </r>
    <r>
      <rPr>
        <sz val="11"/>
        <color theme="1"/>
        <rFont val="Calibri"/>
        <family val="2"/>
        <charset val="238"/>
        <scheme val="minor"/>
      </rPr>
      <t xml:space="preserve"> (celkem)</t>
    </r>
  </si>
  <si>
    <r>
      <t xml:space="preserve">Orná půda 
</t>
    </r>
    <r>
      <rPr>
        <sz val="11"/>
        <rFont val="Calibri"/>
        <family val="2"/>
        <charset val="238"/>
      </rPr>
      <t>(kultury R, G, U)</t>
    </r>
  </si>
  <si>
    <t>celkem</t>
  </si>
  <si>
    <r>
      <t xml:space="preserve">Průměrný přívod živin 
</t>
    </r>
    <r>
      <rPr>
        <sz val="11"/>
        <rFont val="Calibri"/>
        <family val="2"/>
        <charset val="238"/>
      </rPr>
      <t>(kg/t hnojiva nebo kg/t sušiny kalu)</t>
    </r>
  </si>
  <si>
    <t>Nesklízený úhor a další nesklízené plochy (ochranné pásy apod.)</t>
  </si>
  <si>
    <t>v přepočtu na seno (85 % suš.)</t>
  </si>
  <si>
    <t>dusík
(kg N)</t>
  </si>
  <si>
    <r>
      <t>fosfor
(kg P</t>
    </r>
    <r>
      <rPr>
        <sz val="11"/>
        <color indexed="8"/>
        <rFont val="Calibri"/>
        <family val="2"/>
        <charset val="238"/>
      </rPr>
      <t>)</t>
    </r>
  </si>
  <si>
    <r>
      <t>draslík
(kg K</t>
    </r>
    <r>
      <rPr>
        <sz val="11"/>
        <color indexed="8"/>
        <rFont val="Calibri"/>
        <family val="2"/>
        <charset val="238"/>
      </rPr>
      <t>)</t>
    </r>
  </si>
  <si>
    <t>Plodiny vázající N</t>
  </si>
  <si>
    <t xml:space="preserve">             Obchodní závod </t>
  </si>
  <si>
    <r>
      <t xml:space="preserve">             Sklizňový</t>
    </r>
    <r>
      <rPr>
        <b/>
        <sz val="11"/>
        <color indexed="8"/>
        <rFont val="Calibri"/>
        <family val="2"/>
        <charset val="238"/>
      </rPr>
      <t xml:space="preserve"> rok</t>
    </r>
  </si>
  <si>
    <r>
      <t xml:space="preserve">Neovlivnitelné ztráty </t>
    </r>
    <r>
      <rPr>
        <sz val="11"/>
        <color theme="1"/>
        <rFont val="Calibri"/>
        <family val="2"/>
        <charset val="238"/>
        <scheme val="minor"/>
      </rPr>
      <t>(mimo příp. ztrát na výnosu)</t>
    </r>
    <r>
      <rPr>
        <b/>
        <sz val="11"/>
        <color indexed="8"/>
        <rFont val="Calibri"/>
        <family val="2"/>
        <charset val="238"/>
      </rPr>
      <t>, ve výši 60 kg/ha zeleniny</t>
    </r>
  </si>
  <si>
    <t>Neovlivnitelné ztráty – hlavní produkt</t>
  </si>
  <si>
    <t>Kontrola (ha)</t>
  </si>
  <si>
    <t>Kontrola (t/ha)</t>
  </si>
  <si>
    <t xml:space="preserve">   Plocha polní zeleniny (ha, bez překryvů) </t>
  </si>
  <si>
    <t>Obsah živin (legislativa)</t>
  </si>
  <si>
    <t>Průměrný výnos 
za předchozích 
5 let (t/ha)</t>
  </si>
  <si>
    <t>Poškozená 
plocha 
(ha)</t>
  </si>
  <si>
    <t>Průměrný výnos na poškozených hektarech (t/ha)</t>
  </si>
  <si>
    <t>Snížení výnosu 
(%)</t>
  </si>
  <si>
    <r>
      <t xml:space="preserve">Snížení odvozu N (t N), 
</t>
    </r>
    <r>
      <rPr>
        <sz val="11"/>
        <color theme="1"/>
        <rFont val="Calibri"/>
        <family val="2"/>
        <charset val="238"/>
        <scheme val="minor"/>
      </rPr>
      <t>započte se pouze při snížení výnosu min. o 30 %</t>
    </r>
  </si>
  <si>
    <t>t/ha</t>
  </si>
  <si>
    <t>zelenina</t>
  </si>
  <si>
    <t>Jahody</t>
  </si>
  <si>
    <t>t N</t>
  </si>
  <si>
    <t>Přívod dusíku symbiotickou fixací N</t>
  </si>
  <si>
    <t xml:space="preserve">    Hosp. rok hnojení  </t>
  </si>
  <si>
    <t>(pro použití hnojiv a upravených kalů)</t>
  </si>
  <si>
    <r>
      <t>Pěstované plodiny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(i plodiny neuvedené v JŽ, ale sklizené)</t>
    </r>
    <r>
      <rPr>
        <b/>
        <sz val="11"/>
        <color indexed="8"/>
        <rFont val="Calibri"/>
        <family val="2"/>
        <charset val="238"/>
      </rPr>
      <t xml:space="preserve"> 
</t>
    </r>
    <r>
      <rPr>
        <i/>
        <sz val="11"/>
        <color indexed="8"/>
        <rFont val="Calibri"/>
        <family val="2"/>
        <charset val="238"/>
      </rPr>
      <t>… při pěstování více plodin po sobě, včetně sklizených meziplodin
   (např. senážní žito) se hektary započítají vícekrát (= překryv)</t>
    </r>
  </si>
  <si>
    <t>kg K/ha</t>
  </si>
  <si>
    <t>kg P/ha</t>
  </si>
  <si>
    <t>Hrách polní na zrno</t>
  </si>
  <si>
    <t>Bob polní na zrno</t>
  </si>
  <si>
    <t>dusík
(kg N/ha)</t>
  </si>
  <si>
    <r>
      <t>fosfor
(kg P/ha</t>
    </r>
    <r>
      <rPr>
        <b/>
        <sz val="11"/>
        <color indexed="8"/>
        <rFont val="Calibri"/>
        <family val="2"/>
        <charset val="238"/>
      </rPr>
      <t>)</t>
    </r>
  </si>
  <si>
    <r>
      <t>draslík
(kg K/ha</t>
    </r>
    <r>
      <rPr>
        <b/>
        <sz val="11"/>
        <color indexed="8"/>
        <rFont val="Calibri"/>
        <family val="2"/>
        <charset val="238"/>
      </rPr>
      <t>)</t>
    </r>
  </si>
  <si>
    <t xml:space="preserve">Průměrný odvoz živin </t>
  </si>
  <si>
    <t xml:space="preserve">Celkový odvoz živin </t>
  </si>
  <si>
    <r>
      <t>Celkem</t>
    </r>
    <r>
      <rPr>
        <sz val="11"/>
        <color theme="1"/>
        <rFont val="Calibri"/>
        <family val="2"/>
        <charset val="238"/>
        <scheme val="minor"/>
      </rPr>
      <t xml:space="preserve"> (hlavní i vedlejší produkt)</t>
    </r>
  </si>
  <si>
    <r>
      <t>fosfor
(kg P</t>
    </r>
    <r>
      <rPr>
        <sz val="11"/>
        <color indexed="8"/>
        <rFont val="Calibri"/>
        <family val="2"/>
        <charset val="238"/>
      </rPr>
      <t>)</t>
    </r>
  </si>
  <si>
    <r>
      <t>draslík
(kg K</t>
    </r>
    <r>
      <rPr>
        <sz val="11"/>
        <color indexed="8"/>
        <rFont val="Calibri"/>
        <family val="2"/>
        <charset val="238"/>
      </rPr>
      <t>)</t>
    </r>
  </si>
  <si>
    <t>1,0  :</t>
  </si>
  <si>
    <t>Obsah živin</t>
  </si>
  <si>
    <t>Plocha plodiny
(ha)</t>
  </si>
  <si>
    <t>Plocha plodiny (ha)</t>
  </si>
  <si>
    <t>xxx</t>
  </si>
  <si>
    <t>Tabulka č. 1 Základní údaje</t>
  </si>
  <si>
    <t>Obchodní  závod</t>
  </si>
  <si>
    <t>Tabulka č. 2 Výměra půdy a rozdělení podle půdního druhu</t>
  </si>
  <si>
    <t>Výměra (ha)</t>
  </si>
  <si>
    <t>Rozsah potřebných opatření 
(%, ha) </t>
  </si>
  <si>
    <t>Standardní orná půda (R), travní porost (G), úhor (U)</t>
  </si>
  <si>
    <t xml:space="preserve">… z toho: lehká půda </t>
  </si>
  <si>
    <t xml:space="preserve">                 střední půda </t>
  </si>
  <si>
    <t xml:space="preserve">                 těžká půda </t>
  </si>
  <si>
    <t>Základní rozsah potřebných opatření (vážený průměr, %)</t>
  </si>
  <si>
    <t>Základní rozsah potřebných opatření (přepočet na hektary)</t>
  </si>
  <si>
    <t>Tabulka č. 3 Upřesnění rozsahu potřebných opatření podle výměry vybraných plodin</t>
  </si>
  <si>
    <t>Váhový koeficient 
(na 1 ha)</t>
  </si>
  <si>
    <t>Výměra 
(ha)</t>
  </si>
  <si>
    <t>Přepočtená plocha 
(ha)</t>
  </si>
  <si>
    <t>Jetel nebo vojtěška, včetně semenářských porostů</t>
  </si>
  <si>
    <t xml:space="preserve">Ostatní víceleté pícniny na standardní orné půdě, trávy na semeno, travní porost </t>
  </si>
  <si>
    <t>Vliv plodin na rozsah potřebných opatření, celkem</t>
  </si>
  <si>
    <t>Základní rozsah potřebných opatření podle půdního druhu (výsledná hodnota z tabulky č. 2)</t>
  </si>
  <si>
    <t>Výsledný rozsah potřebných opatření po upřesnění podle půdního druhu a plodin</t>
  </si>
  <si>
    <t>Tabulka č. 4 Dodání organické hmoty do půdy</t>
  </si>
  <si>
    <t xml:space="preserve">Směrná dávka (t/ha) </t>
  </si>
  <si>
    <t>Celková spotřeba (t)</t>
  </si>
  <si>
    <r>
      <t>Přepočtená plocha</t>
    </r>
    <r>
      <rPr>
        <b/>
        <vertAlign val="superscript"/>
        <sz val="11"/>
        <color theme="1"/>
        <rFont val="Calibri"/>
        <family val="2"/>
        <charset val="238"/>
        <scheme val="minor"/>
      </rPr>
      <t>*)</t>
    </r>
    <r>
      <rPr>
        <b/>
        <sz val="11"/>
        <color theme="1"/>
        <rFont val="Calibri"/>
        <family val="2"/>
        <charset val="238"/>
        <scheme val="minor"/>
      </rPr>
      <t xml:space="preserve"> (ha)</t>
    </r>
  </si>
  <si>
    <t xml:space="preserve">Hnůj, separát kejdy </t>
  </si>
  <si>
    <t>Separát digestátu, tuhý digestát</t>
  </si>
  <si>
    <t>Kompost s poměrem C:N 10 a vyšším</t>
  </si>
  <si>
    <t>Kompost s poměrem C:N nižším než 10</t>
  </si>
  <si>
    <t xml:space="preserve">Upravený kal (ve 100% sušině) </t>
  </si>
  <si>
    <t>Kejda skotu</t>
  </si>
  <si>
    <t>Kejda prasat</t>
  </si>
  <si>
    <t>Digestát</t>
  </si>
  <si>
    <t>Výpalky melasové zahuštěné</t>
  </si>
  <si>
    <t>Výpalky lihovarnické</t>
  </si>
  <si>
    <t>Drůbeží trus sušený</t>
  </si>
  <si>
    <t>Drůbeží trus uleželý</t>
  </si>
  <si>
    <t>Tabulka č. 5 Dodání organické hmoty do půdy a další opatření</t>
  </si>
  <si>
    <t>Přepočtená plocha (ha)</t>
  </si>
  <si>
    <t>Zapravení do půdy, případně ponechání na povrchu slámy obilnin (včetně kukuřice sklizené děleným způsobem), olejnin, luskovin (pěstovaných i jako zelenina) a ostatních plodin pěstovaných na zrno či semeno nebo rostlinných zbytků po sklizni jetelovin a trav na semeno</t>
  </si>
  <si>
    <t>… z toho zapravení slámy obilnin v kombinaci se souběžnou nebo následnou aplikací kejdy, 
    digestátu nebo výpalků</t>
  </si>
  <si>
    <t>Zapravení nesklizeného posledního obrostu víceletých pícnin</t>
  </si>
  <si>
    <t xml:space="preserve">Meziplodiny (nad 8 týdnů, bez odvozu zelené hmoty), po kterých následuje ozimá plodina </t>
  </si>
  <si>
    <t>Meziplodiny (nad 8 týdnů, bez odvozu zelené hmoty), po kterých následuje jarní plodina</t>
  </si>
  <si>
    <t>Meziplodiny (nad 8 týdnů) pěstované současně s hlavní plodinou</t>
  </si>
  <si>
    <t>Plodiny na úhoru, bez odvozu zelené hmoty</t>
  </si>
  <si>
    <t>Meziplodiny (nad 8 týdnů) nebo plodiny na úhoru, s odvozem zelené hmoty</t>
  </si>
  <si>
    <t xml:space="preserve">Strip-till </t>
  </si>
  <si>
    <t xml:space="preserve">Přímé setí do nezpracované půdy, meziplodin nebo rostlinných zbytků  </t>
  </si>
  <si>
    <t>Tabulka č. 6 Vyhodnocení hospodaření s organickou hmotou na standardní orné půdě</t>
  </si>
  <si>
    <t>Podíl z rozsahu potřebných opatření (%)</t>
  </si>
  <si>
    <t>Rozsah provedených opatření (součet celkových hodnot z tabulek č. 4 a 5)</t>
  </si>
  <si>
    <t>Rozsah potřebných opatření (závěrečná hodnota z tabulky č. 3)</t>
  </si>
  <si>
    <r>
      <t xml:space="preserve">Rozdíl </t>
    </r>
    <r>
      <rPr>
        <sz val="11"/>
        <color theme="1"/>
        <rFont val="Calibri"/>
        <family val="2"/>
        <charset val="238"/>
        <scheme val="minor"/>
      </rPr>
      <t>(od rozsahu provedených opatření se odečte rozsah potřebných opatření a případná záporná hodnota se převede 
na % z rozsahu potřebných opatření)</t>
    </r>
  </si>
  <si>
    <t>Číslo čtverce</t>
  </si>
  <si>
    <t>Zkrácený kód DPB</t>
  </si>
  <si>
    <t>Výměra DPB 
(ha)</t>
  </si>
  <si>
    <t>Datum operace</t>
  </si>
  <si>
    <t>Strip-till 
(ha)</t>
  </si>
  <si>
    <t>Přímé setí, do</t>
  </si>
  <si>
    <t>Předplodina, 
včetně meziplodin</t>
  </si>
  <si>
    <t>Cílová plodina</t>
  </si>
  <si>
    <t>nezpracované půdy (ha)</t>
  </si>
  <si>
    <t>meziplodin 
(ha)</t>
  </si>
  <si>
    <t>rostlinných zbytků (ha)</t>
  </si>
  <si>
    <t>Položky</t>
  </si>
  <si>
    <t>Strip-till (ha)</t>
  </si>
  <si>
    <t xml:space="preserve">Přímé setí do nezpracované půdy, meziplodin nebo rostlinných zbytků (ha) </t>
  </si>
  <si>
    <t>Součet z jednotlivých DPB (tabulka č. 7)</t>
  </si>
  <si>
    <t>Rozdíl</t>
  </si>
  <si>
    <t>ID LPIS</t>
  </si>
  <si>
    <t>Potřeba:</t>
  </si>
  <si>
    <t>Plnění:</t>
  </si>
  <si>
    <r>
      <t xml:space="preserve">Podmínka pro základní celofaremní ekoplatbu </t>
    </r>
    <r>
      <rPr>
        <i/>
        <sz val="12"/>
        <color theme="1"/>
        <rFont val="Calibri"/>
        <family val="2"/>
        <charset val="238"/>
        <scheme val="minor"/>
      </rPr>
      <t>(celá platba)</t>
    </r>
  </si>
  <si>
    <t>Rozdíl:</t>
  </si>
  <si>
    <t>Potřeba dodání organických látek (OL), v průměru na výměru RGU (t OL/ha)</t>
  </si>
  <si>
    <t>Bilance organické hmoty</t>
  </si>
  <si>
    <r>
      <t xml:space="preserve">Obhospodařovaná plocha </t>
    </r>
    <r>
      <rPr>
        <sz val="11"/>
        <color theme="9" tint="-0.499984740745262"/>
        <rFont val="Calibri"/>
        <family val="2"/>
        <charset val="238"/>
        <scheme val="minor"/>
      </rPr>
      <t>(Jednotná žádost /JŽ/, květen 2025)</t>
    </r>
  </si>
  <si>
    <t xml:space="preserve">Potřeba provedení vhodných opatření </t>
  </si>
  <si>
    <t>Celková výměra (kultury R + G + U)</t>
  </si>
  <si>
    <t>Podle údajů pro žádost o dotace na rok 2025</t>
  </si>
  <si>
    <t>Základní potřeba, před korekcí na plodiny (%, ha):</t>
  </si>
  <si>
    <t xml:space="preserve"> … z toho: lehká půda</t>
  </si>
  <si>
    <t>Informace o zařazení DPB podle převažujícího půdního druhu (Registr půdy – LPIS): 
Tisky – Informativní výpisy – Základní (tab. Součet výměr účinných dle kultur a režimů EZ)</t>
  </si>
  <si>
    <t>Výsledný rozsah potřebných opatření, po korekci na plodiny (%, ha):</t>
  </si>
  <si>
    <t>Snížení základní celofaremní ekoplatby při neplnění podmínky 
(ve vztahu k rozsahu potřebných opatření)</t>
  </si>
  <si>
    <r>
      <t>Upřesnění potřeby opatření podle výměry vybraných plodin</t>
    </r>
    <r>
      <rPr>
        <sz val="11"/>
        <color theme="9" tint="-0.499984740745262"/>
        <rFont val="Calibri"/>
        <family val="2"/>
        <charset val="238"/>
        <scheme val="minor"/>
      </rPr>
      <t xml:space="preserve"> (JŽ 2025) </t>
    </r>
  </si>
  <si>
    <t>neplnění</t>
  </si>
  <si>
    <t>snížení ekoplatby na výměře R</t>
  </si>
  <si>
    <t>Koef. (na 1 ha)</t>
  </si>
  <si>
    <t>Podíl plodin (%)</t>
  </si>
  <si>
    <t xml:space="preserve">Okopaniny, kukuřice a zelenina zvyšují rozsah potřebných opatření, naopak víceleté pícniny rozsah opatření snižují. </t>
  </si>
  <si>
    <t>Korekce potřeby opatření podle plodin (%, ha)</t>
  </si>
  <si>
    <t>Potřeba (t OL/ha RGU)</t>
  </si>
  <si>
    <t>≤ 15 %</t>
  </si>
  <si>
    <t>o 5 %</t>
  </si>
  <si>
    <r>
      <t xml:space="preserve">Brambory, </t>
    </r>
    <r>
      <rPr>
        <sz val="11"/>
        <color theme="1"/>
        <rFont val="Calibri"/>
        <family val="2"/>
        <charset val="238"/>
        <scheme val="minor"/>
      </rPr>
      <t>cukrová řepa, řepa krmná, zelenina</t>
    </r>
    <r>
      <rPr>
        <vertAlign val="superscript"/>
        <sz val="11"/>
        <color theme="1"/>
        <rFont val="Calibri"/>
        <family val="2"/>
        <charset val="238"/>
        <scheme val="minor"/>
      </rPr>
      <t>1)</t>
    </r>
  </si>
  <si>
    <r>
      <t>Kukuřice, zelenina</t>
    </r>
    <r>
      <rPr>
        <vertAlign val="superscript"/>
        <sz val="11"/>
        <color theme="1"/>
        <rFont val="Calibri"/>
        <family val="2"/>
        <charset val="238"/>
        <scheme val="minor"/>
      </rPr>
      <t>2)</t>
    </r>
  </si>
  <si>
    <t>&gt; 15 %, ≤ 25 %</t>
  </si>
  <si>
    <t>o 10 %</t>
  </si>
  <si>
    <r>
      <t>Jetel</t>
    </r>
    <r>
      <rPr>
        <vertAlign val="superscript"/>
        <sz val="11"/>
        <color theme="1"/>
        <rFont val="Calibri"/>
        <family val="2"/>
        <charset val="238"/>
        <scheme val="minor"/>
      </rPr>
      <t>3)</t>
    </r>
    <r>
      <rPr>
        <sz val="11"/>
        <color theme="1"/>
        <rFont val="Calibri"/>
        <family val="2"/>
        <charset val="238"/>
        <scheme val="minor"/>
      </rPr>
      <t xml:space="preserve"> nebo vojtěška</t>
    </r>
    <r>
      <rPr>
        <vertAlign val="superscript"/>
        <sz val="11"/>
        <color theme="1"/>
        <rFont val="Calibri"/>
        <family val="2"/>
        <charset val="238"/>
        <scheme val="minor"/>
      </rPr>
      <t>3)</t>
    </r>
    <r>
      <rPr>
        <sz val="11"/>
        <color theme="1"/>
        <rFont val="Calibri"/>
        <family val="2"/>
        <charset val="238"/>
        <scheme val="minor"/>
      </rPr>
      <t>, včetně semenářských porostů</t>
    </r>
  </si>
  <si>
    <t>&gt; 25 %, ≤ 50 %</t>
  </si>
  <si>
    <t>o 50 %</t>
  </si>
  <si>
    <r>
      <t>Ostatní víceleté pícniny (R)</t>
    </r>
    <r>
      <rPr>
        <vertAlign val="superscript"/>
        <sz val="11"/>
        <color theme="1"/>
        <rFont val="Calibri"/>
        <family val="2"/>
        <charset val="238"/>
        <scheme val="minor"/>
      </rPr>
      <t>4)</t>
    </r>
    <r>
      <rPr>
        <sz val="11"/>
        <color theme="1"/>
        <rFont val="Calibri"/>
        <family val="2"/>
        <charset val="238"/>
        <scheme val="minor"/>
      </rPr>
      <t>, trávy na semeno, travní porost (G)</t>
    </r>
  </si>
  <si>
    <t xml:space="preserve">&gt; 50 % </t>
  </si>
  <si>
    <t>ekoplatba se neposkytne</t>
  </si>
  <si>
    <t>Snížení základní celofaremní ekoplatby při nezpracování výpočtu</t>
  </si>
  <si>
    <t>Při dosažení záporné hodnoty nejsou potřeba žádná opatření</t>
  </si>
  <si>
    <t>předložení výpočtu do 30 dnů po kontrole – snížení o 3 %</t>
  </si>
  <si>
    <t>...při směrné dávce (t/ha)</t>
  </si>
  <si>
    <t>Obsah sušiny dle vyhl.</t>
  </si>
  <si>
    <t>Přepočt. plocha (ha)</t>
  </si>
  <si>
    <t>Plnění (t OL/ha RGU)</t>
  </si>
  <si>
    <t>Plocha i OL jsou přepočteny na efekt hnoje v dávce 30 t/ha</t>
  </si>
  <si>
    <r>
      <t xml:space="preserve">nepředložení výpočtu do 30 dnů po kontrole – </t>
    </r>
    <r>
      <rPr>
        <sz val="11"/>
        <color theme="1"/>
        <rFont val="Calibri"/>
        <family val="2"/>
        <charset val="238"/>
        <scheme val="minor"/>
      </rPr>
      <t>bez ekoplatby</t>
    </r>
  </si>
  <si>
    <r>
      <t xml:space="preserve">Kompost s poměrem C:N </t>
    </r>
    <r>
      <rPr>
        <sz val="11"/>
        <color theme="1"/>
        <rFont val="Calibri"/>
        <family val="2"/>
        <charset val="238"/>
        <scheme val="minor"/>
      </rPr>
      <t>nižším než 10</t>
    </r>
  </si>
  <si>
    <t>Upravený kal (ve 100% sušině)</t>
  </si>
  <si>
    <t>Celkem – hnojení</t>
  </si>
  <si>
    <r>
      <t xml:space="preserve">Dodání organické hmoty a další opatření </t>
    </r>
    <r>
      <rPr>
        <sz val="11"/>
        <color theme="9" tint="-0.499984740745262"/>
        <rFont val="Calibri"/>
        <family val="2"/>
        <charset val="238"/>
        <scheme val="minor"/>
      </rPr>
      <t>(2024/2025)</t>
    </r>
  </si>
  <si>
    <t>Opatření provedená v období od 1. 7. 2024 do 30. 6. 2025, na výměře RGU pro JŽ 2025</t>
  </si>
  <si>
    <t>… z toho kombinace: sláma obilnin + kejda, digestát, výpalky</t>
  </si>
  <si>
    <t>… z toho zapravení slámy obilnin v kombinaci se souběžnou nebo následnou aplikací 
    kejdy, digestátu nebo výpalků</t>
  </si>
  <si>
    <t>Zapravení chrástu, případně nesklizených hlavních plodin</t>
  </si>
  <si>
    <t>Nesklizený obrost víceletých pícnin</t>
  </si>
  <si>
    <t xml:space="preserve">Meziplodiny na zelené hnojení – následuje ozimá plodina </t>
  </si>
  <si>
    <t>Meziplodiny na zelené hnojení – následuje jarní plodina</t>
  </si>
  <si>
    <t>Meziplodiny – současně s hlavní plodinou</t>
  </si>
  <si>
    <t>Meziplodiny – odvoz zelené hmoty</t>
  </si>
  <si>
    <r>
      <t xml:space="preserve">Úhory a ochr. pásy* </t>
    </r>
    <r>
      <rPr>
        <b/>
        <sz val="11"/>
        <color theme="9" tint="-0.499984740745262"/>
        <rFont val="Calibri"/>
        <family val="2"/>
        <charset val="238"/>
        <scheme val="minor"/>
      </rPr>
      <t>(JŽ, květen 2025)</t>
    </r>
    <r>
      <rPr>
        <sz val="11"/>
        <color theme="1"/>
        <rFont val="Calibri"/>
        <family val="2"/>
        <charset val="238"/>
        <scheme val="minor"/>
      </rPr>
      <t xml:space="preserve"> – bez odvozu zelené hmoty</t>
    </r>
  </si>
  <si>
    <r>
      <t xml:space="preserve">Úhory a ochr. pásy* </t>
    </r>
    <r>
      <rPr>
        <b/>
        <sz val="11"/>
        <color theme="9" tint="-0.499984740745262"/>
        <rFont val="Calibri"/>
        <family val="2"/>
        <charset val="238"/>
        <scheme val="minor"/>
      </rPr>
      <t>(JŽ, květen 2025)</t>
    </r>
    <r>
      <rPr>
        <sz val="11"/>
        <color theme="1"/>
        <rFont val="Calibri"/>
        <family val="2"/>
        <charset val="238"/>
        <scheme val="minor"/>
      </rPr>
      <t xml:space="preserve"> – odvoz zelené hmoty</t>
    </r>
  </si>
  <si>
    <r>
      <t xml:space="preserve">Poznámka: </t>
    </r>
    <r>
      <rPr>
        <sz val="11"/>
        <color theme="1"/>
        <rFont val="Calibri"/>
        <family val="2"/>
        <charset val="238"/>
        <scheme val="minor"/>
      </rPr>
      <t>*K plochám úhorů lze připočítat výměry ochranných pásů deklarovaných v jednotné žádosti 2025 jako neprodukční plochy. Jsou to ochranné pásy podle přílohy č. 12 k nařízení vlády č. 83/2023 Sb.: ochranný pás kolem evidovaného krajinného prvku, ozeleněný kolejový řádek, ochranný pás typu souvrať, ochranný pás podél vody typu základní a prémiový, ochranný pás v rámci půdoochranných technologií, ochranný dělící pás, ochranný pás založený v rámci agrolesnictví, biopás.</t>
    </r>
  </si>
  <si>
    <t>Celkem – další opatření</t>
  </si>
  <si>
    <t>Souhrn opatření – přepočtená plocha (%, ha)</t>
  </si>
  <si>
    <t>Plnění celkem (t OL/ha RGU)</t>
  </si>
  <si>
    <t>Rozdíl (kladná hodnota je rezerva, záporná neplnění) (%, ha)</t>
  </si>
  <si>
    <t>Rozdíl = Plnění - Potřeba (t OL/ha RGU)</t>
  </si>
  <si>
    <t xml:space="preserve">Obhospodařovaná plocha </t>
  </si>
  <si>
    <t xml:space="preserve">Hlavní plodiny </t>
  </si>
  <si>
    <r>
      <t xml:space="preserve">Brambory, </t>
    </r>
    <r>
      <rPr>
        <sz val="11"/>
        <color theme="1"/>
        <rFont val="Calibri"/>
        <family val="2"/>
        <charset val="238"/>
        <scheme val="minor"/>
      </rPr>
      <t xml:space="preserve">cukrová řepa, řepa krmná, brokolice, celer, cuketa, meloun, okurka, pór, rajče, tykev, zelí </t>
    </r>
  </si>
  <si>
    <t>Kukuřice, česnek, křen selský jednoletý, květák, mrkev, paprika, pastinák</t>
  </si>
  <si>
    <t xml:space="preserve">Použití hnojiv a upravených kalů </t>
  </si>
  <si>
    <t>Použití statkových hnojiv rostlinného původu a půdoochranných technologií</t>
  </si>
  <si>
    <t>Brambory, řepa cukrová, řepa krmná, celer, okurka, rajče, zelí</t>
  </si>
  <si>
    <t>Kukuřice, květák, mrkev</t>
  </si>
  <si>
    <t>Česnek, křen selský jednoletý, paprika, pastinák</t>
  </si>
  <si>
    <t>Brokolice, cuketa, meloun, pór, tykev</t>
  </si>
  <si>
    <t>pouze čisté porosty</t>
  </si>
  <si>
    <t xml:space="preserve">včetně směsí (např. jetelotráva) </t>
  </si>
  <si>
    <t>Ostatní víceleté pícniny (R), trávy na semeno, travní porost (G)</t>
  </si>
  <si>
    <t>Hnojiva a upravené kaly pro bilance P a N</t>
  </si>
  <si>
    <t>Hnojiva a upravené kaly pro Model OH</t>
  </si>
  <si>
    <t>sláma:</t>
  </si>
  <si>
    <t>chrást:</t>
  </si>
  <si>
    <t>Chrást</t>
  </si>
  <si>
    <t>Nesklizené hlavní plodiny</t>
  </si>
  <si>
    <t>Pohanka</t>
  </si>
  <si>
    <t>Ostatní obilniny na zrno</t>
  </si>
  <si>
    <r>
      <t>Pšenice ozimá</t>
    </r>
    <r>
      <rPr>
        <i/>
        <sz val="11"/>
        <color indexed="8"/>
        <rFont val="Calibri"/>
        <family val="2"/>
        <charset val="238"/>
      </rPr>
      <t xml:space="preserve"> </t>
    </r>
  </si>
  <si>
    <r>
      <t>Pšenice jarní</t>
    </r>
    <r>
      <rPr>
        <i/>
        <sz val="11"/>
        <color indexed="8"/>
        <rFont val="Calibri"/>
        <family val="2"/>
        <charset val="238"/>
      </rPr>
      <t xml:space="preserve"> </t>
    </r>
  </si>
  <si>
    <t xml:space="preserve">Ostatní luskoviny na zrno </t>
  </si>
  <si>
    <t xml:space="preserve">Ostatní okopaniny </t>
  </si>
  <si>
    <t xml:space="preserve">Řepka </t>
  </si>
  <si>
    <t xml:space="preserve">Ostatní olejniny </t>
  </si>
  <si>
    <r>
      <t xml:space="preserve">Spotřeba minerálních hnojiv </t>
    </r>
    <r>
      <rPr>
        <b/>
        <sz val="14"/>
        <color indexed="8"/>
        <rFont val="Calibri"/>
        <family val="2"/>
        <charset val="238"/>
      </rPr>
      <t>(tuny zboží), za hospodářský rok</t>
    </r>
  </si>
  <si>
    <r>
      <rPr>
        <b/>
        <sz val="18"/>
        <color theme="1"/>
        <rFont val="Calibri"/>
        <family val="2"/>
        <charset val="238"/>
        <scheme val="minor"/>
      </rPr>
      <t>Celofaremní ekoplatba 2025</t>
    </r>
    <r>
      <rPr>
        <b/>
        <sz val="14"/>
        <color theme="1"/>
        <rFont val="Calibri"/>
        <family val="2"/>
        <charset val="238"/>
        <scheme val="minor"/>
      </rPr>
      <t xml:space="preserve"> – vyhodnocení hospodaření s organickou hmotou na standardní orné půdě </t>
    </r>
  </si>
  <si>
    <r>
      <rPr>
        <b/>
        <sz val="18"/>
        <color theme="1"/>
        <rFont val="Calibri"/>
        <family val="2"/>
        <charset val="238"/>
      </rPr>
      <t xml:space="preserve">Celofaremní ekoplatba 2025 (R) </t>
    </r>
    <r>
      <rPr>
        <b/>
        <sz val="14"/>
        <color theme="1"/>
        <rFont val="Calibri"/>
        <family val="2"/>
        <charset val="238"/>
      </rPr>
      <t xml:space="preserve">– hospodaření s org. hmotou v hospodářském roce 2024/2025 </t>
    </r>
    <r>
      <rPr>
        <sz val="14"/>
        <color theme="1"/>
        <rFont val="Calibri"/>
        <family val="2"/>
        <charset val="238"/>
      </rPr>
      <t>(od 1. 7. 2024 do 30. 6. 2025)</t>
    </r>
  </si>
  <si>
    <t>Ostatní obilniny na zeleno</t>
  </si>
  <si>
    <t>Kukuřice na zeleno a na siláž</t>
  </si>
  <si>
    <t>tuny čistých živin</t>
  </si>
  <si>
    <t>tuny N</t>
  </si>
  <si>
    <r>
      <t>tuny P</t>
    </r>
    <r>
      <rPr>
        <b/>
        <vertAlign val="subscript"/>
        <sz val="11"/>
        <color indexed="8"/>
        <rFont val="Calibri"/>
        <family val="2"/>
        <charset val="238"/>
      </rPr>
      <t>2</t>
    </r>
    <r>
      <rPr>
        <b/>
        <sz val="11"/>
        <color indexed="8"/>
        <rFont val="Calibri"/>
        <family val="2"/>
        <charset val="238"/>
      </rPr>
      <t>O</t>
    </r>
    <r>
      <rPr>
        <b/>
        <vertAlign val="subscript"/>
        <sz val="11"/>
        <color indexed="8"/>
        <rFont val="Calibri"/>
        <family val="2"/>
        <charset val="238"/>
      </rPr>
      <t>5</t>
    </r>
  </si>
  <si>
    <r>
      <t>tuny K</t>
    </r>
    <r>
      <rPr>
        <b/>
        <vertAlign val="subscript"/>
        <sz val="11"/>
        <color indexed="8"/>
        <rFont val="Calibri"/>
        <family val="2"/>
        <charset val="238"/>
      </rPr>
      <t>2</t>
    </r>
    <r>
      <rPr>
        <b/>
        <sz val="11"/>
        <color indexed="8"/>
        <rFont val="Calibri"/>
        <family val="2"/>
        <charset val="238"/>
      </rPr>
      <t>O</t>
    </r>
  </si>
  <si>
    <t xml:space="preserve">             Zpracoval</t>
  </si>
  <si>
    <r>
      <t>fosfor (kg P</t>
    </r>
    <r>
      <rPr>
        <b/>
        <sz val="11"/>
        <color theme="1"/>
        <rFont val="Calibri"/>
        <family val="2"/>
        <charset val="238"/>
      </rPr>
      <t>/t)</t>
    </r>
  </si>
  <si>
    <r>
      <t>draslík (kg K</t>
    </r>
    <r>
      <rPr>
        <b/>
        <sz val="11"/>
        <color theme="1"/>
        <rFont val="Calibri"/>
        <family val="2"/>
        <charset val="238"/>
      </rPr>
      <t>/t)</t>
    </r>
  </si>
  <si>
    <t>Dodání živin na orné půdě</t>
  </si>
  <si>
    <t>Sláma obilnin (vč. kukuřice na zrno), olejnin, luskovin a dalších plodin pěstovaných na zrno či semeno (veškerá sláma, bez ohledu na přidání dusíku) atd.</t>
  </si>
  <si>
    <r>
      <t xml:space="preserve">
bilanční přebytek dusíku nejvýše
</t>
    </r>
    <r>
      <rPr>
        <b/>
        <i/>
        <sz val="10"/>
        <color theme="1"/>
        <rFont val="Calibri"/>
        <family val="2"/>
        <charset val="238"/>
        <scheme val="minor"/>
      </rPr>
      <t>60 kg N/ha</t>
    </r>
  </si>
  <si>
    <t>Ponechaný na poli (ha)
– dopočet
(pro Model OH 2025)</t>
  </si>
  <si>
    <r>
      <t xml:space="preserve">                   </t>
    </r>
    <r>
      <rPr>
        <i/>
        <sz val="11"/>
        <color theme="1"/>
        <rFont val="Calibri"/>
        <family val="2"/>
        <charset val="238"/>
        <scheme val="minor"/>
      </rPr>
      <t>střední půda (dopočet)</t>
    </r>
  </si>
  <si>
    <t xml:space="preserve">                   těžká půda</t>
  </si>
  <si>
    <t>Hnojiva a upr. kaly</t>
  </si>
  <si>
    <t xml:space="preserve">Plodiny 2024 </t>
  </si>
  <si>
    <t xml:space="preserve">Plodiny 2025 </t>
  </si>
  <si>
    <t>Neovlivnitelné ztráty v roce 2025</t>
  </si>
  <si>
    <r>
      <t xml:space="preserve">Podrobnosti k výpočtu   </t>
    </r>
    <r>
      <rPr>
        <sz val="12"/>
        <color theme="1"/>
        <rFont val="Aptos Narrow"/>
        <family val="2"/>
      </rPr>
      <t>→  →  →</t>
    </r>
  </si>
  <si>
    <r>
      <t>Hnůj, separát kejdy</t>
    </r>
    <r>
      <rPr>
        <i/>
        <sz val="11"/>
        <color theme="2" tint="-0.749992370372631"/>
        <rFont val="Calibri"/>
        <family val="2"/>
        <charset val="238"/>
        <scheme val="minor"/>
      </rPr>
      <t xml:space="preserve"> – řádky s dalšími hnojivy jsou skryty...</t>
    </r>
  </si>
  <si>
    <r>
      <t xml:space="preserve">Tabulka č. 7 Seznam dílů půdních bloků, na kterých byly použity půdoochranné technologie </t>
    </r>
    <r>
      <rPr>
        <b/>
        <i/>
        <sz val="11"/>
        <color theme="1"/>
        <rFont val="Calibri"/>
        <family val="2"/>
        <charset val="238"/>
        <scheme val="minor"/>
      </rPr>
      <t>(v případě potřeby lze uprostřed přidat řádky = vložit buňky)</t>
    </r>
  </si>
  <si>
    <t>Odběr celkem</t>
  </si>
  <si>
    <t xml:space="preserve">    z toho v organické hmotě</t>
  </si>
  <si>
    <t>Průměrný koeficient pro stanovení potřeby dodání fosforu</t>
  </si>
  <si>
    <r>
      <t>Dodání v minerálních, statkových</t>
    </r>
    <r>
      <rPr>
        <sz val="11"/>
        <color theme="1"/>
        <rFont val="Calibri"/>
        <family val="2"/>
        <charset val="238"/>
        <scheme val="minor"/>
      </rPr>
      <t>, organických a organominerálních hnojivech a upravených kalech</t>
    </r>
  </si>
  <si>
    <t>Žadatel</t>
  </si>
  <si>
    <t>IČO</t>
  </si>
  <si>
    <t xml:space="preserve"> IČO žadatele</t>
  </si>
  <si>
    <t>Množství P (t)</t>
  </si>
  <si>
    <t>Množství N (t)</t>
  </si>
  <si>
    <r>
      <t xml:space="preserve">   Nezjištěný </t>
    </r>
    <r>
      <rPr>
        <i/>
        <sz val="11"/>
        <color theme="1"/>
        <rFont val="Calibri"/>
        <family val="2"/>
        <charset val="238"/>
        <scheme val="minor"/>
      </rPr>
      <t>(dopočet)</t>
    </r>
  </si>
  <si>
    <r>
      <rPr>
        <b/>
        <sz val="11"/>
        <color theme="2" tint="-0.499984740745262"/>
        <rFont val="Calibri"/>
        <family val="2"/>
        <charset val="238"/>
        <scheme val="minor"/>
      </rPr>
      <t xml:space="preserve">Tab. č. 1 </t>
    </r>
    <r>
      <rPr>
        <b/>
        <sz val="11"/>
        <color theme="1"/>
        <rFont val="Calibri"/>
        <family val="2"/>
        <charset val="238"/>
        <scheme val="minor"/>
      </rPr>
      <t>Základní údaje</t>
    </r>
  </si>
  <si>
    <r>
      <rPr>
        <b/>
        <sz val="11"/>
        <color theme="2" tint="-0.499984740745262"/>
        <rFont val="Calibri"/>
        <family val="2"/>
        <charset val="238"/>
        <scheme val="minor"/>
      </rPr>
      <t>Tab. č. 4</t>
    </r>
    <r>
      <rPr>
        <b/>
        <sz val="11"/>
        <color theme="1"/>
        <rFont val="Calibri"/>
        <family val="2"/>
        <charset val="238"/>
        <scheme val="minor"/>
      </rPr>
      <t xml:space="preserve"> Výpočet průměrného koeficientu pro stanovení potřeby dodání fosforu</t>
    </r>
  </si>
  <si>
    <r>
      <rPr>
        <b/>
        <sz val="11"/>
        <color theme="2" tint="-0.499984740745262"/>
        <rFont val="Calibri"/>
        <family val="2"/>
        <charset val="238"/>
        <scheme val="minor"/>
      </rPr>
      <t>Tab. č. 6</t>
    </r>
    <r>
      <rPr>
        <b/>
        <sz val="11"/>
        <color theme="1"/>
        <rFont val="Calibri"/>
        <family val="2"/>
        <charset val="238"/>
        <scheme val="minor"/>
      </rPr>
      <t xml:space="preserve"> Výpočet bilance fosforu na orné půdě</t>
    </r>
  </si>
  <si>
    <r>
      <rPr>
        <b/>
        <sz val="11"/>
        <color theme="2" tint="-0.499984740745262"/>
        <rFont val="Calibri"/>
        <family val="2"/>
        <charset val="238"/>
        <scheme val="minor"/>
      </rPr>
      <t xml:space="preserve">Tab. č. 7 </t>
    </r>
    <r>
      <rPr>
        <b/>
        <sz val="11"/>
        <color theme="1"/>
        <rFont val="Calibri"/>
        <family val="2"/>
        <charset val="238"/>
        <scheme val="minor"/>
      </rPr>
      <t>Výpočet bilance dusíku na orné půdě</t>
    </r>
  </si>
  <si>
    <t xml:space="preserve">Odběr fosforu, celkem </t>
  </si>
  <si>
    <t xml:space="preserve">Potřeba dodání fosforu </t>
  </si>
  <si>
    <t xml:space="preserve">Dodání fosforu, celkem </t>
  </si>
  <si>
    <t xml:space="preserve">Celková bilance </t>
  </si>
  <si>
    <t xml:space="preserve">Průměrná bilance fosforu </t>
  </si>
  <si>
    <t xml:space="preserve">Podíl dodání fosforu v organické hmotě </t>
  </si>
  <si>
    <t xml:space="preserve">Odběr dusíku, celkem </t>
  </si>
  <si>
    <t>Dodání dusíku, celkem</t>
  </si>
  <si>
    <t xml:space="preserve">     z toho dodání fosforu v organické hmotě</t>
  </si>
  <si>
    <r>
      <rPr>
        <b/>
        <sz val="11"/>
        <color theme="2" tint="-0.499984740745262"/>
        <rFont val="Calibri"/>
        <family val="2"/>
        <charset val="238"/>
        <scheme val="minor"/>
      </rPr>
      <t xml:space="preserve">Tab. č. 2 </t>
    </r>
    <r>
      <rPr>
        <b/>
        <sz val="11"/>
        <color theme="1"/>
        <rFont val="Calibri"/>
        <family val="2"/>
        <charset val="238"/>
        <scheme val="minor"/>
      </rPr>
      <t>Výměra orné půdy</t>
    </r>
    <r>
      <rPr>
        <b/>
        <vertAlign val="superscript"/>
        <sz val="11"/>
        <color indexed="8"/>
        <rFont val="Calibri"/>
        <family val="2"/>
        <charset val="238"/>
        <scheme val="minor"/>
      </rPr>
      <t xml:space="preserve"> </t>
    </r>
  </si>
  <si>
    <t>Z toho v režimu EZ (ha)</t>
  </si>
  <si>
    <t>Dodání celkem</t>
  </si>
  <si>
    <t xml:space="preserve">    z toho dodání v organické hmotě</t>
  </si>
  <si>
    <t>Celkem 
(ha)</t>
  </si>
  <si>
    <t>Celková bilance bez neovlivnitelných ztrát</t>
  </si>
  <si>
    <t xml:space="preserve">Neovlivnitelné ztráty </t>
  </si>
  <si>
    <t>Celková bilance po zohlednění neovlivnitelných ztrát</t>
  </si>
  <si>
    <t>Výměra orné půdy k datu podání žádosti pro aktuální rok 2025</t>
  </si>
  <si>
    <t>DÍLČÍ HODNOCENÍ, za bilanci fosforu:</t>
  </si>
  <si>
    <t>DÍLČÍ HODNOCENÍ, za bilanci dusíku:</t>
  </si>
  <si>
    <t>CELKOVÉ HODNOCENÍ:</t>
  </si>
  <si>
    <r>
      <rPr>
        <b/>
        <sz val="11"/>
        <color theme="2" tint="-0.499984740745262"/>
        <rFont val="Calibri"/>
        <family val="2"/>
        <charset val="238"/>
        <scheme val="minor"/>
      </rPr>
      <t xml:space="preserve">Tab. č. 3a </t>
    </r>
    <r>
      <rPr>
        <b/>
        <sz val="11"/>
        <color theme="1"/>
        <rFont val="Calibri"/>
        <family val="2"/>
        <charset val="238"/>
        <scheme val="minor"/>
      </rPr>
      <t>Odběr fosforu v kalendářním roce 2024</t>
    </r>
  </si>
  <si>
    <r>
      <rPr>
        <b/>
        <sz val="11"/>
        <color theme="2" tint="-0.499984740745262"/>
        <rFont val="Calibri"/>
        <family val="2"/>
        <charset val="238"/>
        <scheme val="minor"/>
      </rPr>
      <t>Tab. č. 3b</t>
    </r>
    <r>
      <rPr>
        <b/>
        <sz val="11"/>
        <color theme="1"/>
        <rFont val="Calibri"/>
        <family val="2"/>
        <charset val="238"/>
        <scheme val="minor"/>
      </rPr>
      <t xml:space="preserve"> Odběr dusíku v kalendářním roce 2025</t>
    </r>
  </si>
  <si>
    <t>Výměra celkem a průměrný koeficient (vážený průměr)</t>
  </si>
  <si>
    <r>
      <rPr>
        <b/>
        <sz val="11"/>
        <color theme="2" tint="-0.499984740745262"/>
        <rFont val="Calibri"/>
        <family val="2"/>
        <charset val="238"/>
        <scheme val="minor"/>
      </rPr>
      <t xml:space="preserve">Tab. č. 5 </t>
    </r>
    <r>
      <rPr>
        <b/>
        <sz val="11"/>
        <color theme="1"/>
        <rFont val="Calibri"/>
        <family val="2"/>
        <charset val="238"/>
        <scheme val="minor"/>
      </rPr>
      <t>Dodání fosforu a dusíku na ornou půdu za období od 1. 7. 2024 do 30. 6. 2025</t>
    </r>
  </si>
  <si>
    <r>
      <t>Množství P</t>
    </r>
    <r>
      <rPr>
        <b/>
        <vertAlign val="subscript"/>
        <sz val="10"/>
        <color indexed="8"/>
        <rFont val="Calibri"/>
        <family val="2"/>
        <charset val="238"/>
        <scheme val="minor"/>
      </rPr>
      <t>2</t>
    </r>
    <r>
      <rPr>
        <b/>
        <sz val="10"/>
        <color indexed="8"/>
        <rFont val="Calibri"/>
        <family val="2"/>
        <charset val="238"/>
        <scheme val="minor"/>
      </rPr>
      <t>O</t>
    </r>
    <r>
      <rPr>
        <b/>
        <vertAlign val="subscript"/>
        <sz val="10"/>
        <color indexed="8"/>
        <rFont val="Calibri"/>
        <family val="2"/>
        <charset val="238"/>
        <scheme val="minor"/>
      </rPr>
      <t>5</t>
    </r>
    <r>
      <rPr>
        <b/>
        <sz val="10"/>
        <color theme="1"/>
        <rFont val="Calibri"/>
        <family val="2"/>
        <charset val="238"/>
        <scheme val="minor"/>
      </rPr>
      <t xml:space="preserve"> (t)</t>
    </r>
  </si>
  <si>
    <t xml:space="preserve">Odběr fosforu přepočtený na hektar orné půdy v roce 2024 </t>
  </si>
  <si>
    <t>Podíl výměry orné půdy obhospodařované v režimu EZ k datu podání žádosti pro aktuální rok 2025</t>
  </si>
  <si>
    <r>
      <rPr>
        <b/>
        <sz val="11"/>
        <color rgb="FF0000FF"/>
        <rFont val="Calibri"/>
        <family val="2"/>
        <charset val="238"/>
      </rPr>
      <t>Do tab. č. 4 doplňte výměry orné půdy podle kategorií zásobenosti fosforem</t>
    </r>
    <r>
      <rPr>
        <sz val="11"/>
        <color rgb="FF0000FF"/>
        <rFont val="Calibri"/>
        <family val="2"/>
        <charset val="238"/>
      </rPr>
      <t xml:space="preserve"> (najdete na Portálu farmáře v Registru půdy – LPIS: 
tisk "14a. Zpráva o výsledcích AZZP pro SZIF – opatření Ekoplatba živiny", za rok 2024, kap. "Základní statistické zpracování"</t>
    </r>
  </si>
  <si>
    <t>Orná půda (R, G, U) dle deklarace zemědělské půdy pro rok 2025</t>
  </si>
  <si>
    <t>Orná půda (R, G, U) dle deklarace zemědělské půdy pro rok 2024</t>
  </si>
  <si>
    <r>
      <t>Pěstované plodiny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indexed="8"/>
        <rFont val="Calibri"/>
        <family val="2"/>
        <charset val="238"/>
      </rPr>
      <t>(i plodiny neuvedené v JŽ, ale sklizené)</t>
    </r>
    <r>
      <rPr>
        <b/>
        <sz val="11"/>
        <color indexed="8"/>
        <rFont val="Calibri"/>
        <family val="2"/>
        <charset val="238"/>
      </rPr>
      <t xml:space="preserve"> 
</t>
    </r>
    <r>
      <rPr>
        <i/>
        <sz val="11"/>
        <color indexed="8"/>
        <rFont val="Calibri"/>
        <family val="2"/>
        <charset val="238"/>
      </rPr>
      <t>… při pěstování více plodin po sobě, včetně sklizených meziplodin
   (např. senážní žito) se hektary započítají vícekrát (= zdůvodněný překryv)</t>
    </r>
  </si>
  <si>
    <t>Ponechaný na poli (ha)
– dopočet
(pro Model OH 2026)</t>
  </si>
  <si>
    <t xml:space="preserve">Organická hnojiva </t>
  </si>
  <si>
    <t>Výměra orné půdy (R, G, U) 
k datu podání žádosti 
pro aktuální rok 2025 (ha)</t>
  </si>
  <si>
    <t xml:space="preserve">     1. 7. 2024 – 
30. 6. 2025</t>
  </si>
  <si>
    <r>
      <t xml:space="preserve">Spotřeba statkových, organických a organominerálních hnojiv (t) 
a upravených kalů (tuny sušiny), za hospodářský rok </t>
    </r>
    <r>
      <rPr>
        <sz val="11"/>
        <rFont val="Calibri"/>
        <family val="2"/>
        <charset val="238"/>
        <scheme val="minor"/>
      </rPr>
      <t>(1. července až 30. června)</t>
    </r>
  </si>
  <si>
    <t xml:space="preserve">     1. 7. 2025 – 
30. 6. 2026</t>
  </si>
  <si>
    <r>
      <t xml:space="preserve">Spotřeba minerálních hnojiv </t>
    </r>
    <r>
      <rPr>
        <b/>
        <sz val="14"/>
        <color indexed="8"/>
        <rFont val="Calibri"/>
        <family val="2"/>
        <charset val="238"/>
      </rPr>
      <t xml:space="preserve">(tuny zboží), za hospodářský rok 
</t>
    </r>
    <r>
      <rPr>
        <sz val="12"/>
        <color theme="1"/>
        <rFont val="Calibri"/>
        <family val="2"/>
        <charset val="238"/>
        <scheme val="minor"/>
      </rPr>
      <t>(1. července až 30. června následujícícho kalendářního roku)</t>
    </r>
  </si>
  <si>
    <t>statková hnojiva</t>
  </si>
  <si>
    <t>Např. poškození kroupami, hraboši nebo suchem. Případné kontrole je vhodné škody doložit fotodokumentaci, hlášením pojistné události apod.</t>
  </si>
  <si>
    <t>Vložte údaj o výměře orné půdy v roce 2024 (ha), dle Jednotné žádosti 2024</t>
  </si>
  <si>
    <t>Vložte údaj o výměře orné půdy v roce 2025 (ha), dle Jednotné žádosti 2025</t>
  </si>
  <si>
    <t xml:space="preserve">Plodiny 2026 </t>
  </si>
  <si>
    <t>Vložte údaj o výměře orné půdy v roce 2026 (ha), dle Jednotné žádosti 2026</t>
  </si>
  <si>
    <t>2025/2026</t>
  </si>
  <si>
    <t>Plodiny pro model OH 2026</t>
  </si>
  <si>
    <t>Plodiny pro model OH 2025</t>
  </si>
  <si>
    <t>Neovlivnitelné ztráty v roce 2026</t>
  </si>
  <si>
    <r>
      <t>Dodání organické hmoty do půdy</t>
    </r>
    <r>
      <rPr>
        <sz val="11"/>
        <color theme="9" tint="-0.499984740745262"/>
        <rFont val="Calibri"/>
        <family val="2"/>
        <charset val="238"/>
        <scheme val="minor"/>
      </rPr>
      <t xml:space="preserve"> (2024/2025)</t>
    </r>
    <r>
      <rPr>
        <b/>
        <i/>
        <sz val="11"/>
        <color theme="2" tint="-0.749992370372631"/>
        <rFont val="Calibri"/>
        <family val="2"/>
        <charset val="238"/>
        <scheme val="minor"/>
      </rPr>
      <t xml:space="preserve"> – z listu "O24-26"</t>
    </r>
  </si>
  <si>
    <t>Ponechaný na poli (ha)
– dopočet
(pro Model OH 2027)</t>
  </si>
  <si>
    <t xml:space="preserve">Vložte údaje o plochách plodin a sklizních hlavního a vedlejšího produktu, v kalendářním roce 2024 </t>
  </si>
  <si>
    <t>Vložte údaje o plochách plodin a sklizních hlavního a vedlejšího produktu, v kalendářním roce 2025</t>
  </si>
  <si>
    <t>Vložte údaje o plochách plodin a sklizních hlavního a vedlejšího produktu, v kalendářním roce 2026</t>
  </si>
  <si>
    <t>v přepočtu z tun minerálních hnojiv (zboží) na tuny čistých živin 
(fosfor a draslík v oxidové formě)</t>
  </si>
  <si>
    <t>1. 7. 2024 – 30. 6. 2025</t>
  </si>
  <si>
    <t>1. 7. 2025 – 30. 6. 2026</t>
  </si>
  <si>
    <r>
      <t xml:space="preserve">Hnůj od jiných zvířat </t>
    </r>
    <r>
      <rPr>
        <i/>
        <sz val="11"/>
        <rFont val="Calibri"/>
        <family val="2"/>
        <charset val="238"/>
      </rPr>
      <t>(doplňte přívod živin, sloupce D–F nebo I–K)</t>
    </r>
  </si>
  <si>
    <r>
      <t xml:space="preserve">Směs různých tuhých hnojiv </t>
    </r>
    <r>
      <rPr>
        <i/>
        <sz val="11"/>
        <rFont val="Calibri"/>
        <family val="2"/>
        <charset val="238"/>
      </rPr>
      <t>(např. vážený průměr obsahu živin, sloupce D–F nebo I–K)</t>
    </r>
  </si>
  <si>
    <r>
      <t xml:space="preserve">Kejda od jiných zvířat </t>
    </r>
    <r>
      <rPr>
        <i/>
        <sz val="11"/>
        <rFont val="Calibri"/>
        <family val="2"/>
        <charset val="238"/>
      </rPr>
      <t>(doplňte přívod živin, sloupce D–F nebo I–K)</t>
    </r>
  </si>
  <si>
    <r>
      <t xml:space="preserve">Močůvka od jiných zvířat </t>
    </r>
    <r>
      <rPr>
        <i/>
        <sz val="11"/>
        <rFont val="Calibri"/>
        <family val="2"/>
        <charset val="238"/>
      </rPr>
      <t>(doplňte přívod živin, sloupce D–F nebo I–K)</t>
    </r>
  </si>
  <si>
    <r>
      <t xml:space="preserve">Hnojůvka z jiného hnoje </t>
    </r>
    <r>
      <rPr>
        <i/>
        <sz val="11"/>
        <rFont val="Calibri"/>
        <family val="2"/>
        <charset val="238"/>
      </rPr>
      <t>(doplňte přívod živin, sloupce D–F nebo I–K)</t>
    </r>
  </si>
  <si>
    <r>
      <t xml:space="preserve">Kompost 2 </t>
    </r>
    <r>
      <rPr>
        <i/>
        <sz val="11"/>
        <rFont val="Calibri"/>
        <family val="2"/>
        <charset val="238"/>
        <scheme val="minor"/>
      </rPr>
      <t>– doplňte přívod živin (kg/t), sloupce D–F nebo I–K</t>
    </r>
  </si>
  <si>
    <r>
      <t xml:space="preserve">Digestát 2 </t>
    </r>
    <r>
      <rPr>
        <i/>
        <sz val="11"/>
        <rFont val="Calibri"/>
        <family val="2"/>
        <charset val="238"/>
        <scheme val="minor"/>
      </rPr>
      <t>– doplňte přívod živin (kg/t), sloupce D–F nebo I–K</t>
    </r>
  </si>
  <si>
    <r>
      <t xml:space="preserve">Digestát 3 </t>
    </r>
    <r>
      <rPr>
        <i/>
        <sz val="11"/>
        <rFont val="Calibri"/>
        <family val="2"/>
        <charset val="238"/>
        <scheme val="minor"/>
      </rPr>
      <t>– doplňte přívod živin (kg/t), sloupce D–F nebo I–K</t>
    </r>
  </si>
  <si>
    <r>
      <t xml:space="preserve">Digestát 4 </t>
    </r>
    <r>
      <rPr>
        <i/>
        <sz val="11"/>
        <rFont val="Calibri"/>
        <family val="2"/>
        <charset val="238"/>
        <scheme val="minor"/>
      </rPr>
      <t>– doplňte přívod živin (kg/t), sloupce D–F nebo I–K</t>
    </r>
  </si>
  <si>
    <r>
      <t>Výpalky melasové zahuštěné</t>
    </r>
    <r>
      <rPr>
        <i/>
        <sz val="11"/>
        <rFont val="Calibri"/>
        <family val="2"/>
        <charset val="238"/>
      </rPr>
      <t xml:space="preserve"> – příklad (upravte přívod živin, sloupce D–F nebo I–K)</t>
    </r>
  </si>
  <si>
    <r>
      <t>Výpalky lihovarnické –</t>
    </r>
    <r>
      <rPr>
        <i/>
        <sz val="11"/>
        <rFont val="Calibri"/>
        <family val="2"/>
        <charset val="238"/>
      </rPr>
      <t xml:space="preserve"> příklad (upravte přívod živin, sloupce D–F nebo I–K)</t>
    </r>
  </si>
  <si>
    <r>
      <t xml:space="preserve">Upravený kal – </t>
    </r>
    <r>
      <rPr>
        <i/>
        <sz val="11"/>
        <rFont val="Calibri"/>
        <family val="2"/>
        <charset val="238"/>
      </rPr>
      <t>příklad (upravte přívod živin v kg/t sušiny, sloupce D–F nebo I–K)</t>
    </r>
  </si>
  <si>
    <t xml:space="preserve">Statková hnojiva </t>
  </si>
  <si>
    <r>
      <rPr>
        <b/>
        <i/>
        <sz val="11"/>
        <color theme="1"/>
        <rFont val="Calibri"/>
        <family val="2"/>
        <charset val="238"/>
        <scheme val="minor"/>
      </rPr>
      <t>Výsledek bilance P pro získání dotace, při bilančním přebytku N do 60 kg N/ha</t>
    </r>
    <r>
      <rPr>
        <i/>
        <sz val="11"/>
        <color theme="1"/>
        <rFont val="Calibri"/>
        <family val="2"/>
        <charset val="238"/>
        <scheme val="minor"/>
      </rPr>
      <t xml:space="preserve">
1) konvenční hospodaření 
     </t>
    </r>
    <r>
      <rPr>
        <b/>
        <i/>
        <sz val="11"/>
        <color theme="1"/>
        <rFont val="Calibri"/>
        <family val="2"/>
        <charset val="238"/>
        <scheme val="minor"/>
      </rPr>
      <t>0 až +10 kg P/ha</t>
    </r>
    <r>
      <rPr>
        <i/>
        <sz val="11"/>
        <color theme="1"/>
        <rFont val="Calibri"/>
        <family val="2"/>
        <charset val="238"/>
        <scheme val="minor"/>
      </rPr>
      <t xml:space="preserve"> = plná dotace
  </t>
    </r>
    <r>
      <rPr>
        <b/>
        <i/>
        <sz val="11"/>
        <color theme="1"/>
        <rFont val="Calibri"/>
        <family val="2"/>
        <charset val="238"/>
        <scheme val="minor"/>
      </rPr>
      <t xml:space="preserve"> -2 až   ˂0 kg P/ha</t>
    </r>
    <r>
      <rPr>
        <i/>
        <sz val="11"/>
        <color theme="1"/>
        <rFont val="Calibri"/>
        <family val="2"/>
        <charset val="238"/>
        <scheme val="minor"/>
      </rPr>
      <t xml:space="preserve"> s dodáním P pouze v organické hmotě = plná dotace
 </t>
    </r>
    <r>
      <rPr>
        <b/>
        <i/>
        <sz val="11"/>
        <color theme="1"/>
        <rFont val="Calibri"/>
        <family val="2"/>
        <charset val="238"/>
        <scheme val="minor"/>
      </rPr>
      <t xml:space="preserve">  -2 až   ˂0 kg P/ha</t>
    </r>
    <r>
      <rPr>
        <i/>
        <sz val="11"/>
        <color theme="1"/>
        <rFont val="Calibri"/>
        <family val="2"/>
        <charset val="238"/>
        <scheme val="minor"/>
      </rPr>
      <t xml:space="preserve"> s dodáním P i v minerálních hnojivech = 50% dotace
2) uživatel hospodařící plně v režimu ekologického zemědělství 
   </t>
    </r>
    <r>
      <rPr>
        <b/>
        <i/>
        <sz val="11"/>
        <color theme="1"/>
        <rFont val="Calibri"/>
        <family val="2"/>
        <charset val="238"/>
        <scheme val="minor"/>
      </rPr>
      <t>-2 až +10 kg P/ha</t>
    </r>
    <r>
      <rPr>
        <i/>
        <sz val="11"/>
        <color theme="1"/>
        <rFont val="Calibri"/>
        <family val="2"/>
        <charset val="238"/>
        <scheme val="minor"/>
      </rPr>
      <t xml:space="preserve"> = plná dotace</t>
    </r>
  </si>
  <si>
    <t>Orná půda (R, G, U) dle deklarace zemědělské půdy pro rok 2026</t>
  </si>
  <si>
    <r>
      <rPr>
        <b/>
        <sz val="11"/>
        <color rgb="FF0000FF"/>
        <rFont val="Calibri"/>
        <family val="2"/>
        <charset val="238"/>
      </rPr>
      <t>Do tab. č. 4 doplňte výměry orné půdy podle kategorií zásobenosti fosforem</t>
    </r>
    <r>
      <rPr>
        <sz val="11"/>
        <color rgb="FF0000FF"/>
        <rFont val="Calibri"/>
        <family val="2"/>
        <charset val="238"/>
      </rPr>
      <t xml:space="preserve"> (najdete na Portálu farmáře v Registru půdy – LPIS: 
tisk "14a. Zpráva o výsledcích AZZP pro SZIF – opatření Ekoplatba živiny", za rok 2025, kap. "Základní statistické zpracování"</t>
    </r>
  </si>
  <si>
    <t xml:space="preserve">Odběr fosforu přepočtený na hektar orné půdy v roce 2025 </t>
  </si>
  <si>
    <t>Výměra orné půdy k datu podání žádosti pro aktuální rok 2026</t>
  </si>
  <si>
    <t>Podíl výměry orné půdy obhospodařované v režimu EZ k datu podání žádosti pro aktuální rok 2026</t>
  </si>
  <si>
    <r>
      <rPr>
        <b/>
        <sz val="11"/>
        <color theme="2" tint="-0.499984740745262"/>
        <rFont val="Calibri"/>
        <family val="2"/>
        <charset val="238"/>
        <scheme val="minor"/>
      </rPr>
      <t xml:space="preserve">Tab. č. 3a </t>
    </r>
    <r>
      <rPr>
        <b/>
        <sz val="11"/>
        <color theme="1"/>
        <rFont val="Calibri"/>
        <family val="2"/>
        <charset val="238"/>
        <scheme val="minor"/>
      </rPr>
      <t>Odběr fosforu v kalendářním roce 2025</t>
    </r>
  </si>
  <si>
    <r>
      <rPr>
        <b/>
        <sz val="11"/>
        <color theme="2" tint="-0.499984740745262"/>
        <rFont val="Calibri"/>
        <family val="2"/>
        <charset val="238"/>
        <scheme val="minor"/>
      </rPr>
      <t>Tab. č. 3b</t>
    </r>
    <r>
      <rPr>
        <b/>
        <sz val="11"/>
        <color theme="1"/>
        <rFont val="Calibri"/>
        <family val="2"/>
        <charset val="238"/>
        <scheme val="minor"/>
      </rPr>
      <t xml:space="preserve"> Odběr dusíku v kalendářním roce 2026</t>
    </r>
  </si>
  <si>
    <r>
      <rPr>
        <b/>
        <sz val="11"/>
        <color theme="2" tint="-0.499984740745262"/>
        <rFont val="Calibri"/>
        <family val="2"/>
        <charset val="238"/>
        <scheme val="minor"/>
      </rPr>
      <t xml:space="preserve">Tab. č. 5 </t>
    </r>
    <r>
      <rPr>
        <b/>
        <sz val="11"/>
        <color theme="1"/>
        <rFont val="Calibri"/>
        <family val="2"/>
        <charset val="238"/>
        <scheme val="minor"/>
      </rPr>
      <t>Dodání fosforu a dusíku na ornou půdu za období od 1. 7. 2025 do 30. 6. 2026</t>
    </r>
  </si>
  <si>
    <t>Výměra orné půdy (R, G, U) 
k datu podání žádosti 
pro aktuální rok 2026 (ha)</t>
  </si>
  <si>
    <t>z toho v režimu ekologického zemědělství (EZ)</t>
  </si>
  <si>
    <t>zemědělské kultury: standardní orná půda (R), travní porost (G), úhor (U)</t>
  </si>
  <si>
    <t>Hodnoty v tabulkách jsou matematicky zaokrouhleny na 3 desetinná místa (tuny) nebo na 2 desetinná místa (hektary, koeficient, kg/ha a %)</t>
  </si>
  <si>
    <t xml:space="preserve">Průměrná bilance dusíku </t>
  </si>
  <si>
    <r>
      <t xml:space="preserve">vložte údaje do červeně orámovaných buněk </t>
    </r>
    <r>
      <rPr>
        <i/>
        <sz val="11"/>
        <color rgb="FFFF0000"/>
        <rFont val="Calibri"/>
        <family val="2"/>
        <charset val="238"/>
        <scheme val="minor"/>
      </rPr>
      <t>(ostatní se automaticky vyplní)</t>
    </r>
    <r>
      <rPr>
        <b/>
        <i/>
        <sz val="11"/>
        <color rgb="FFFF0000"/>
        <rFont val="Calibri"/>
        <family val="2"/>
        <charset val="238"/>
        <scheme val="minor"/>
      </rPr>
      <t xml:space="preserve"> </t>
    </r>
    <r>
      <rPr>
        <b/>
        <sz val="11"/>
        <color rgb="FFFF0000"/>
        <rFont val="Calibri"/>
        <family val="2"/>
        <charset val="238"/>
      </rPr>
      <t>↓</t>
    </r>
  </si>
  <si>
    <t>zapravení do půdy, případně ponechání na povrchu slámy obilnin, olejnin, luskovin (pěstovaných i jako zelenina) a ostatních plodin pěstovaných na zrno či semeno nebo rostlinných zbytků po sklizni jetelovin a trav na semeno</t>
  </si>
  <si>
    <t>zapravení řepného chrástu</t>
  </si>
  <si>
    <t>zapravení nesklizených hlavních plodin</t>
  </si>
  <si>
    <t>zapravení nesklizeného posledního obrostu víceletých pícnin</t>
  </si>
  <si>
    <t xml:space="preserve">meziplodiny (nad 8 týdnů, bez odvozu zelené hmoty), po kterých následuje ozimá plodina </t>
  </si>
  <si>
    <t>meziplodiny (nad 8 týdnů, bez odvozu zelené hmoty), po kterých následuje jarní plodina</t>
  </si>
  <si>
    <t>meziplodiny (nad 8 týdnů) pěstované současně s hlavní plodinou</t>
  </si>
  <si>
    <t>meziplodiny (nad 8 týdnů) s odvozem zelené hmoty</t>
  </si>
  <si>
    <t>plodiny na úhoru a v ochranných pásech* (neprodukční plochy), bez odvozu zelené hmoty</t>
  </si>
  <si>
    <t>plodiny na úhoru a v ochranných pásech* (neprodukční plochy), s odvozem zelené hmoty</t>
  </si>
  <si>
    <t>přímé setí do nezpracované půdy, meziplodin nebo rostlinných zbytků</t>
  </si>
  <si>
    <t xml:space="preserve">použití technologie strip-till </t>
  </si>
  <si>
    <t>Rozdíl (ha)</t>
  </si>
  <si>
    <r>
      <rPr>
        <b/>
        <sz val="18"/>
        <color theme="1"/>
        <rFont val="Calibri"/>
        <family val="2"/>
        <charset val="238"/>
        <scheme val="minor"/>
      </rPr>
      <t>Celofaremní ekoplatba 2025</t>
    </r>
    <r>
      <rPr>
        <b/>
        <sz val="14"/>
        <color theme="1"/>
        <rFont val="Calibri"/>
        <family val="2"/>
        <charset val="238"/>
        <scheme val="minor"/>
      </rPr>
      <t xml:space="preserve"> – použití půdoochranných technologií v období 1. 7. 2024 – 30. 6. 2025</t>
    </r>
  </si>
  <si>
    <t xml:space="preserve">Kontrola souladu údajů vyplněných žadatelem do tabulky č. 7 a do listu "OH25" </t>
  </si>
  <si>
    <r>
      <rPr>
        <b/>
        <sz val="18"/>
        <color theme="1"/>
        <rFont val="Calibri"/>
        <family val="2"/>
        <charset val="238"/>
        <scheme val="minor"/>
      </rPr>
      <t>Celofaremní ekoplatba 2026</t>
    </r>
    <r>
      <rPr>
        <b/>
        <sz val="14"/>
        <color theme="1"/>
        <rFont val="Calibri"/>
        <family val="2"/>
        <charset val="238"/>
        <scheme val="minor"/>
      </rPr>
      <t xml:space="preserve"> – použití půdoochranných technologií v období 1. 7. 2025 – 30. 6. 2026</t>
    </r>
  </si>
  <si>
    <t xml:space="preserve">Kontrola souladu údajů vyplněných žadatelem do tabulky č. 7 a do listu "OH26" </t>
  </si>
  <si>
    <r>
      <t xml:space="preserve">Strip-till </t>
    </r>
    <r>
      <rPr>
        <i/>
        <sz val="11"/>
        <color theme="1"/>
        <rFont val="Calibri"/>
        <family val="2"/>
        <charset val="238"/>
        <scheme val="minor"/>
      </rPr>
      <t>(vyplňte i tabulku č. 7 v listu "PT24-26"</t>
    </r>
    <r>
      <rPr>
        <sz val="11"/>
        <color theme="1"/>
        <rFont val="Calibri"/>
        <family val="2"/>
        <charset val="238"/>
        <scheme val="minor"/>
      </rPr>
      <t>)</t>
    </r>
  </si>
  <si>
    <r>
      <t xml:space="preserve">Přímé setí </t>
    </r>
    <r>
      <rPr>
        <i/>
        <sz val="11"/>
        <color theme="1"/>
        <rFont val="Calibri"/>
        <family val="2"/>
        <charset val="238"/>
        <scheme val="minor"/>
      </rPr>
      <t>(vyplňte i tabulku č. 7 v listu "PT24-26")</t>
    </r>
  </si>
  <si>
    <r>
      <rPr>
        <b/>
        <sz val="18"/>
        <color theme="1"/>
        <rFont val="Calibri"/>
        <family val="2"/>
        <charset val="238"/>
      </rPr>
      <t xml:space="preserve">Celofaremní ekoplatba 2026 (R) </t>
    </r>
    <r>
      <rPr>
        <b/>
        <sz val="14"/>
        <color theme="1"/>
        <rFont val="Calibri"/>
        <family val="2"/>
        <charset val="238"/>
      </rPr>
      <t xml:space="preserve">– hospodaření s org. hmotou v hospodářském roce 2025/2026 </t>
    </r>
    <r>
      <rPr>
        <sz val="14"/>
        <color theme="1"/>
        <rFont val="Calibri"/>
        <family val="2"/>
        <charset val="238"/>
      </rPr>
      <t>(od 1. 7. 2025 do 30. 6. 2026)</t>
    </r>
  </si>
  <si>
    <r>
      <t xml:space="preserve">Obhospodařovaná plocha </t>
    </r>
    <r>
      <rPr>
        <sz val="11"/>
        <color theme="9" tint="-0.499984740745262"/>
        <rFont val="Calibri"/>
        <family val="2"/>
        <charset val="238"/>
        <scheme val="minor"/>
      </rPr>
      <t>(Jednotná žádost /JŽ/, květen 2026)</t>
    </r>
  </si>
  <si>
    <t>Podle údajů pro žádost o dotace na rok 2026</t>
  </si>
  <si>
    <r>
      <t>Upřesnění potřeby opatření podle výměry vybraných plodin</t>
    </r>
    <r>
      <rPr>
        <sz val="11"/>
        <color theme="9" tint="-0.499984740745262"/>
        <rFont val="Calibri"/>
        <family val="2"/>
        <charset val="238"/>
        <scheme val="minor"/>
      </rPr>
      <t xml:space="preserve"> (JŽ 2026) </t>
    </r>
  </si>
  <si>
    <r>
      <t>Dodání organické hmoty do půdy</t>
    </r>
    <r>
      <rPr>
        <sz val="11"/>
        <color theme="9" tint="-0.499984740745262"/>
        <rFont val="Calibri"/>
        <family val="2"/>
        <charset val="238"/>
        <scheme val="minor"/>
      </rPr>
      <t xml:space="preserve"> (2025/2026)</t>
    </r>
    <r>
      <rPr>
        <b/>
        <i/>
        <sz val="11"/>
        <color theme="2" tint="-0.749992370372631"/>
        <rFont val="Calibri"/>
        <family val="2"/>
        <charset val="238"/>
        <scheme val="minor"/>
      </rPr>
      <t xml:space="preserve"> – z listu "O24-26"</t>
    </r>
  </si>
  <si>
    <r>
      <t xml:space="preserve">Dodání organické hmoty a další opatření </t>
    </r>
    <r>
      <rPr>
        <sz val="11"/>
        <color theme="9" tint="-0.499984740745262"/>
        <rFont val="Calibri"/>
        <family val="2"/>
        <charset val="238"/>
        <scheme val="minor"/>
      </rPr>
      <t>(2025/2026)</t>
    </r>
  </si>
  <si>
    <t>Opatření provedená v období od 1. 7. 2025 do 30. 6. 2026, na výměře RGU pro JŽ 2026</t>
  </si>
  <si>
    <t xml:space="preserve">Sláma po sklizni kukuřice CCM. </t>
  </si>
  <si>
    <t xml:space="preserve">ponechané rostlinné zbytky po sklizni kukuřice metodou CCM (corn cob mix) </t>
  </si>
  <si>
    <r>
      <t xml:space="preserve">Úhory a ochr. pásy* </t>
    </r>
    <r>
      <rPr>
        <b/>
        <sz val="11"/>
        <color theme="9" tint="-0.499984740745262"/>
        <rFont val="Calibri"/>
        <family val="2"/>
        <charset val="238"/>
        <scheme val="minor"/>
      </rPr>
      <t>(JŽ, květen 2026)</t>
    </r>
    <r>
      <rPr>
        <sz val="11"/>
        <color theme="1"/>
        <rFont val="Calibri"/>
        <family val="2"/>
        <charset val="238"/>
        <scheme val="minor"/>
      </rPr>
      <t xml:space="preserve"> – bez odvozu zelené hmoty</t>
    </r>
  </si>
  <si>
    <r>
      <t xml:space="preserve">Úhory a ochr. pásy* </t>
    </r>
    <r>
      <rPr>
        <b/>
        <sz val="11"/>
        <color theme="9" tint="-0.499984740745262"/>
        <rFont val="Calibri"/>
        <family val="2"/>
        <charset val="238"/>
        <scheme val="minor"/>
      </rPr>
      <t>(JŽ, květen 2026)</t>
    </r>
    <r>
      <rPr>
        <sz val="11"/>
        <color theme="1"/>
        <rFont val="Calibri"/>
        <family val="2"/>
        <charset val="238"/>
        <scheme val="minor"/>
      </rPr>
      <t xml:space="preserve"> – odvoz zelené hmoty</t>
    </r>
  </si>
  <si>
    <t>Přenos z listu "OH25" (řádky č. 54 a 55)</t>
  </si>
  <si>
    <t>Přenos z listu "OH26" (řádky č. 54 a 55)</t>
  </si>
  <si>
    <r>
      <rPr>
        <b/>
        <sz val="18"/>
        <color theme="1"/>
        <rFont val="Calibri"/>
        <family val="2"/>
        <charset val="238"/>
        <scheme val="minor"/>
      </rPr>
      <t>Celofaremní ekoplatba 2026</t>
    </r>
    <r>
      <rPr>
        <b/>
        <sz val="14"/>
        <color theme="1"/>
        <rFont val="Calibri"/>
        <family val="2"/>
        <charset val="238"/>
        <scheme val="minor"/>
      </rPr>
      <t xml:space="preserve"> – vyhodnocení hospodaření s organickou hmotou na standardní orné půdě </t>
    </r>
  </si>
  <si>
    <r>
      <t xml:space="preserve">Poznámka: </t>
    </r>
    <r>
      <rPr>
        <sz val="11"/>
        <color theme="1"/>
        <rFont val="Calibri"/>
        <family val="2"/>
        <charset val="238"/>
        <scheme val="minor"/>
      </rPr>
      <t>*K plochám úhorů lze připočítat výměry ochranných pásů deklarovaných v jednotné žádosti 2026 jako neprodukční plochy. Jsou to ochranné pásy podle přílohy č. 12 k nařízení vlády č. 83/2023 Sb.: ochranný pás kolem evidovaného krajinného prvku, ozeleněný kolejový řádek, ochranný pás typu souvrať, ochranný pás podél vody typu základní a prémiový, ochranný pás v rámci půdoochranných technologií, ochranný dělící pás, ochranný pás založený v rámci agrolesnictví, biopás.</t>
    </r>
  </si>
  <si>
    <r>
      <t xml:space="preserve">Tento list "M24-26ev" použijte, prosím, </t>
    </r>
    <r>
      <rPr>
        <b/>
        <i/>
        <sz val="11"/>
        <color theme="1"/>
        <rFont val="Calibri"/>
        <family val="2"/>
        <charset val="238"/>
        <scheme val="minor"/>
      </rPr>
      <t>pouze při vložení už hotových přepočtů z hnojiv na čisté živiny</t>
    </r>
    <r>
      <rPr>
        <i/>
        <sz val="11"/>
        <color theme="1"/>
        <rFont val="Calibri"/>
        <family val="2"/>
        <charset val="238"/>
        <scheme val="minor"/>
      </rPr>
      <t xml:space="preserve">, např. z programů pro evidenci hnojení;
pokud jste již vyplnili údaje do předchozího listu "M24-26", tak sem už nic nevkládejte, protože by se použily jen tyto celkové údaje, které mají ve výpočtu přednost... </t>
    </r>
  </si>
  <si>
    <r>
      <rPr>
        <b/>
        <sz val="16"/>
        <color rgb="FF000000"/>
        <rFont val="Calibri"/>
        <family val="2"/>
        <charset val="238"/>
      </rPr>
      <t xml:space="preserve">Ekoplatba na udržitelné hospodaření se živinami v roce 2026 </t>
    </r>
    <r>
      <rPr>
        <sz val="12"/>
        <color rgb="FF000000"/>
        <rFont val="Calibri"/>
        <family val="2"/>
        <charset val="238"/>
      </rPr>
      <t>(výpočet bilance P a N na orné půdě)</t>
    </r>
    <r>
      <rPr>
        <b/>
        <sz val="9"/>
        <color rgb="FF000000"/>
        <rFont val="Calibri"/>
        <family val="2"/>
        <charset val="238"/>
      </rPr>
      <t xml:space="preserve">, </t>
    </r>
    <r>
      <rPr>
        <b/>
        <sz val="16"/>
        <color rgb="FF000000"/>
        <rFont val="Calibri"/>
        <family val="2"/>
        <charset val="238"/>
      </rPr>
      <t>Bilance N pro nitrátovou směrnici 2025/2026</t>
    </r>
  </si>
  <si>
    <r>
      <rPr>
        <b/>
        <sz val="16"/>
        <color rgb="FF000000"/>
        <rFont val="Calibri"/>
        <family val="2"/>
        <charset val="238"/>
      </rPr>
      <t xml:space="preserve">Ekoplatba na udržitelné hospodaření se živinami v roce 2025 </t>
    </r>
    <r>
      <rPr>
        <sz val="12"/>
        <color rgb="FF000000"/>
        <rFont val="Calibri"/>
        <family val="2"/>
        <charset val="238"/>
      </rPr>
      <t>(výpočet bilance P a N na orné půdě)</t>
    </r>
    <r>
      <rPr>
        <b/>
        <sz val="9"/>
        <color rgb="FF000000"/>
        <rFont val="Calibri"/>
        <family val="2"/>
        <charset val="238"/>
      </rPr>
      <t xml:space="preserve">, </t>
    </r>
    <r>
      <rPr>
        <b/>
        <sz val="16"/>
        <color rgb="FF000000"/>
        <rFont val="Calibri"/>
        <family val="2"/>
        <charset val="238"/>
      </rPr>
      <t>Bilance N pro nitrátovou směrnici 2024/2025</t>
    </r>
  </si>
  <si>
    <r>
      <t xml:space="preserve">Vybrané plodiny </t>
    </r>
    <r>
      <rPr>
        <sz val="11"/>
        <color theme="9" tint="-0.499984740745262"/>
        <rFont val="Calibri"/>
        <family val="2"/>
        <charset val="238"/>
        <scheme val="minor"/>
      </rPr>
      <t xml:space="preserve">(JŽ, květen 2025) </t>
    </r>
    <r>
      <rPr>
        <b/>
        <i/>
        <sz val="11"/>
        <color theme="1"/>
        <rFont val="Calibri"/>
        <family val="2"/>
        <charset val="238"/>
        <scheme val="minor"/>
      </rPr>
      <t>– z listu "P25"</t>
    </r>
  </si>
  <si>
    <r>
      <t xml:space="preserve">Vybrané plodiny </t>
    </r>
    <r>
      <rPr>
        <sz val="11"/>
        <color theme="9" tint="-0.499984740745262"/>
        <rFont val="Calibri"/>
        <family val="2"/>
        <charset val="238"/>
        <scheme val="minor"/>
      </rPr>
      <t>(JŽ, květen 2026)</t>
    </r>
    <r>
      <rPr>
        <b/>
        <i/>
        <sz val="11"/>
        <color theme="1"/>
        <rFont val="Calibri"/>
        <family val="2"/>
        <charset val="238"/>
        <scheme val="minor"/>
      </rPr>
      <t xml:space="preserve"> – z listu "P26"</t>
    </r>
  </si>
  <si>
    <t>U směsí použijte průměrné hodnoty, např. vážený průměr nebo údaje z laboratorní analýzy; 
pokud ve směsi převažuje min. z 80 % jeden druh hnojiva, použijte řádek pro toto hnojivo.</t>
  </si>
  <si>
    <t>Pokud již máte spočtenou celkovou spotřebu čistých živin v minerálních hnojivech
(za uvedený hospodářský rok), uveďte výsledné hodnoty zde.</t>
  </si>
  <si>
    <t>Prům. odběr v odvezených produktech:</t>
  </si>
  <si>
    <r>
      <t xml:space="preserve">Orná půda 
</t>
    </r>
    <r>
      <rPr>
        <sz val="11"/>
        <color theme="1"/>
        <rFont val="Calibri"/>
        <family val="2"/>
        <charset val="238"/>
      </rPr>
      <t>(kultury R, G, U)</t>
    </r>
  </si>
  <si>
    <r>
      <t>P</t>
    </r>
    <r>
      <rPr>
        <b/>
        <vertAlign val="subscript"/>
        <sz val="11"/>
        <color theme="1"/>
        <rFont val="Calibri"/>
        <family val="2"/>
        <charset val="238"/>
      </rPr>
      <t>2</t>
    </r>
    <r>
      <rPr>
        <b/>
        <sz val="11"/>
        <color theme="1"/>
        <rFont val="Calibri"/>
        <family val="2"/>
        <charset val="238"/>
      </rPr>
      <t>O</t>
    </r>
    <r>
      <rPr>
        <b/>
        <vertAlign val="subscript"/>
        <sz val="11"/>
        <color theme="1"/>
        <rFont val="Calibri"/>
        <family val="2"/>
        <charset val="238"/>
      </rPr>
      <t>5</t>
    </r>
  </si>
  <si>
    <r>
      <t>K</t>
    </r>
    <r>
      <rPr>
        <b/>
        <vertAlign val="subscript"/>
        <sz val="11"/>
        <color theme="1"/>
        <rFont val="Calibri"/>
        <family val="2"/>
        <charset val="238"/>
      </rPr>
      <t>2</t>
    </r>
    <r>
      <rPr>
        <b/>
        <sz val="11"/>
        <color theme="1"/>
        <rFont val="Calibri"/>
        <family val="2"/>
        <charset val="238"/>
      </rPr>
      <t>O</t>
    </r>
  </si>
  <si>
    <t>Pomocné výpočty</t>
  </si>
  <si>
    <r>
      <t xml:space="preserve">Laboratorní analýzy 1. 7. 2024 – 30. 6. 2025 
</t>
    </r>
    <r>
      <rPr>
        <sz val="11"/>
        <color theme="1"/>
        <rFont val="Calibri"/>
        <family val="2"/>
        <charset val="238"/>
        <scheme val="minor"/>
      </rPr>
      <t>(když vyplníte jen některé živiny, 
ostatní hodnoty se převezmou ze sloupců M–O)</t>
    </r>
  </si>
  <si>
    <r>
      <t xml:space="preserve">Laboratorní analýzy 1. 7. 2025 – 30. 6. 2026  
</t>
    </r>
    <r>
      <rPr>
        <sz val="11"/>
        <color theme="1"/>
        <rFont val="Calibri"/>
        <family val="2"/>
        <charset val="238"/>
        <scheme val="minor"/>
      </rPr>
      <t>(když vyplníte jen některé živiny, 
ostatní hodnoty se převezmou ze sloupců M–O)</t>
    </r>
  </si>
  <si>
    <r>
      <t xml:space="preserve">Průměrný přívod živin 
</t>
    </r>
    <r>
      <rPr>
        <sz val="11"/>
        <color theme="1"/>
        <rFont val="Calibri"/>
        <family val="2"/>
        <charset val="238"/>
      </rPr>
      <t>(kg/t hnojiva nebo kg/t sušiny kalu)</t>
    </r>
  </si>
  <si>
    <t>celkem (t), dodání statkových a organických hnojiv, a upravených kalů, podle listu"O24-26"</t>
  </si>
  <si>
    <r>
      <rPr>
        <b/>
        <sz val="11"/>
        <color theme="1"/>
        <rFont val="Calibri"/>
        <family val="2"/>
        <charset val="238"/>
        <scheme val="minor"/>
      </rPr>
      <t xml:space="preserve">Verze 4 </t>
    </r>
    <r>
      <rPr>
        <sz val="11"/>
        <color theme="1"/>
        <rFont val="Calibri"/>
        <family val="2"/>
        <charset val="238"/>
        <scheme val="minor"/>
      </rPr>
      <t>(18. 9. 2025,</t>
    </r>
    <r>
      <rPr>
        <b/>
        <sz val="11"/>
        <color theme="1"/>
        <rFont val="Calibri"/>
        <family val="2"/>
        <charset val="238"/>
        <scheme val="minor"/>
      </rPr>
      <t xml:space="preserve"> </t>
    </r>
    <r>
      <rPr>
        <sz val="11"/>
        <color theme="1"/>
        <rFont val="Calibri"/>
        <family val="2"/>
        <charset val="238"/>
        <scheme val="minor"/>
      </rPr>
      <t>www.carc.cz), kontakty: Ing. Jan Klír, CSc. (603 520 684; jan.klir@carc.cz), Ing. Lada Kozlovská (733 375 632; lada.kozlovska@carc.cz)</t>
    </r>
  </si>
  <si>
    <t>jiná vícesložková hnojiva – uveďte název (níže) a % živin (sloupce C–E nebo G–I)</t>
  </si>
  <si>
    <t>jiná P a NP hnojiva – uveďte název (níže) a % živin (sloupce C–D nebo G–H)</t>
  </si>
  <si>
    <t>jiná draselná hnojiva – uveďte název (níže) a % živin (sloupec E nebo I)</t>
  </si>
  <si>
    <t>jiná dusíkatá hnojiva – uveďte název (níže) a % živin (sloupec C nebo G)</t>
  </si>
  <si>
    <r>
      <t xml:space="preserve">Statková hnojiva </t>
    </r>
    <r>
      <rPr>
        <sz val="12"/>
        <rFont val="Calibri"/>
        <family val="2"/>
        <charset val="238"/>
      </rPr>
      <t>(vedlejší produkty chovu hospodářských zvířat)</t>
    </r>
  </si>
  <si>
    <r>
      <t xml:space="preserve">Organominerální hnojiva </t>
    </r>
    <r>
      <rPr>
        <sz val="12"/>
        <rFont val="Calibri"/>
        <family val="2"/>
        <charset val="238"/>
      </rPr>
      <t>– uveďte hnojiva a přívod živin (kg/t), sloupce D–F nebo I–K</t>
    </r>
  </si>
  <si>
    <r>
      <t>Upravené kaly</t>
    </r>
    <r>
      <rPr>
        <sz val="12"/>
        <rFont val="Calibri"/>
        <family val="2"/>
        <charset val="238"/>
      </rPr>
      <t xml:space="preserve"> – uveďte přívod živin, v přepočtu na 100% sušinu</t>
    </r>
  </si>
  <si>
    <t xml:space="preserve">Vyplňte hodnoty podle výsledků laboratorních analýz. </t>
  </si>
  <si>
    <t>Vyplňte, pokud máte vlastní hodnoty. Jinak se do výpočtu vezmou průměrné hodnoty dle vyhlášky, ze sloupců M–O.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</si>
</sst>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"/>
    <numFmt numFmtId="165" formatCode="0.0"/>
    <numFmt numFmtId="166" formatCode="0.0%"/>
    <numFmt numFmtId="167" formatCode="0.0000"/>
    <numFmt numFmtId="168" formatCode="#,##0.000"/>
    <numFmt numFmtId="169" formatCode="#,##0.00000000000"/>
    <numFmt numFmtId="170" formatCode="#,##0.0000"/>
    <numFmt numFmtId="171" formatCode="#,##0.0000000"/>
    <numFmt numFmtId="172" formatCode="0.000"/>
  </numFmts>
  <fonts count="90" x14ac:knownFonts="1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vertAlign val="subscript"/>
      <sz val="11"/>
      <name val="Calibri"/>
      <family val="2"/>
      <charset val="238"/>
    </font>
    <font>
      <b/>
      <sz val="11"/>
      <name val="Calibri"/>
      <family val="2"/>
      <charset val="238"/>
    </font>
    <font>
      <i/>
      <sz val="11"/>
      <color indexed="8"/>
      <name val="Calibri"/>
      <family val="2"/>
      <charset val="238"/>
    </font>
    <font>
      <i/>
      <sz val="12"/>
      <color indexed="8"/>
      <name val="Calibri"/>
      <family val="2"/>
      <charset val="238"/>
    </font>
    <font>
      <sz val="11"/>
      <name val="Calibri"/>
      <family val="2"/>
      <charset val="238"/>
    </font>
    <font>
      <i/>
      <sz val="11"/>
      <name val="Calibri"/>
      <family val="2"/>
      <charset val="238"/>
    </font>
    <font>
      <b/>
      <i/>
      <sz val="11"/>
      <color indexed="36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rgb="FF000000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sz val="11"/>
      <color rgb="FF002060"/>
      <name val="Calibri"/>
      <family val="2"/>
      <charset val="238"/>
      <scheme val="minor"/>
    </font>
    <font>
      <i/>
      <sz val="11"/>
      <color rgb="FFFF0000"/>
      <name val="Calibri"/>
      <family val="2"/>
      <charset val="238"/>
      <scheme val="minor"/>
    </font>
    <font>
      <b/>
      <sz val="11"/>
      <color rgb="FFC00000"/>
      <name val="Calibri"/>
      <family val="2"/>
      <charset val="238"/>
      <scheme val="minor"/>
    </font>
    <font>
      <sz val="11"/>
      <color rgb="FFC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sz val="11"/>
      <color rgb="FF00206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i/>
      <vertAlign val="superscript"/>
      <sz val="9"/>
      <color theme="4" tint="-0.499984740745262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i/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b/>
      <vertAlign val="superscript"/>
      <sz val="11"/>
      <color theme="1"/>
      <name val="Calibri"/>
      <family val="2"/>
      <charset val="238"/>
      <scheme val="minor"/>
    </font>
    <font>
      <b/>
      <i/>
      <sz val="11"/>
      <color rgb="FFFF0000"/>
      <name val="Calibri"/>
      <family val="2"/>
      <charset val="238"/>
      <scheme val="minor"/>
    </font>
    <font>
      <b/>
      <sz val="16"/>
      <color theme="1"/>
      <name val="Calibri"/>
      <family val="2"/>
      <charset val="238"/>
    </font>
    <font>
      <b/>
      <sz val="12"/>
      <color theme="1"/>
      <name val="Calibri"/>
      <family val="2"/>
      <charset val="238"/>
    </font>
    <font>
      <b/>
      <sz val="13"/>
      <color theme="1"/>
      <name val="Calibri"/>
      <family val="2"/>
      <charset val="238"/>
    </font>
    <font>
      <b/>
      <sz val="12"/>
      <color theme="0"/>
      <name val="Calibri"/>
      <family val="2"/>
      <charset val="238"/>
      <scheme val="minor"/>
    </font>
    <font>
      <sz val="11"/>
      <color theme="1"/>
      <name val="Aptos Narrow"/>
      <family val="2"/>
    </font>
    <font>
      <sz val="12"/>
      <color theme="1"/>
      <name val="Calibri"/>
      <family val="2"/>
      <charset val="238"/>
    </font>
    <font>
      <b/>
      <i/>
      <sz val="10"/>
      <color rgb="FFFF0000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</font>
    <font>
      <b/>
      <sz val="11"/>
      <color theme="9" tint="-0.499984740745262"/>
      <name val="Calibri"/>
      <family val="2"/>
      <charset val="238"/>
    </font>
    <font>
      <sz val="11"/>
      <color theme="9" tint="-0.499984740745262"/>
      <name val="Calibri"/>
      <family val="2"/>
      <charset val="238"/>
      <scheme val="minor"/>
    </font>
    <font>
      <b/>
      <sz val="11"/>
      <color theme="9" tint="-0.499984740745262"/>
      <name val="Calibri"/>
      <family val="2"/>
      <charset val="238"/>
      <scheme val="minor"/>
    </font>
    <font>
      <b/>
      <i/>
      <sz val="11"/>
      <color rgb="FFFF0000"/>
      <name val="Calibri"/>
      <family val="2"/>
      <charset val="238"/>
    </font>
    <font>
      <sz val="10"/>
      <color theme="1"/>
      <name val="Calibri"/>
      <family val="2"/>
      <charset val="238"/>
    </font>
    <font>
      <vertAlign val="superscript"/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b/>
      <sz val="14"/>
      <color indexed="8"/>
      <name val="Calibri"/>
      <family val="2"/>
      <charset val="238"/>
    </font>
    <font>
      <b/>
      <sz val="14"/>
      <name val="Calibri"/>
      <family val="2"/>
      <charset val="238"/>
      <scheme val="minor"/>
    </font>
    <font>
      <b/>
      <sz val="18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</font>
    <font>
      <b/>
      <sz val="18"/>
      <color theme="1"/>
      <name val="Calibri"/>
      <family val="2"/>
      <charset val="238"/>
    </font>
    <font>
      <sz val="14"/>
      <color theme="1"/>
      <name val="Calibri"/>
      <family val="2"/>
      <charset val="238"/>
    </font>
    <font>
      <b/>
      <vertAlign val="subscript"/>
      <sz val="11"/>
      <color indexed="8"/>
      <name val="Calibri"/>
      <family val="2"/>
      <charset val="238"/>
    </font>
    <font>
      <sz val="14"/>
      <color theme="1"/>
      <name val="Calibri"/>
      <family val="2"/>
      <charset val="238"/>
      <scheme val="minor"/>
    </font>
    <font>
      <b/>
      <i/>
      <sz val="11"/>
      <color rgb="FFC00000"/>
      <name val="Calibri"/>
      <family val="2"/>
      <charset val="238"/>
      <scheme val="minor"/>
    </font>
    <font>
      <i/>
      <vertAlign val="superscript"/>
      <sz val="11"/>
      <color theme="4" tint="-0.499984740745262"/>
      <name val="Calibri"/>
      <family val="2"/>
      <charset val="238"/>
      <scheme val="minor"/>
    </font>
    <font>
      <sz val="12"/>
      <color rgb="FF000000"/>
      <name val="Calibri"/>
      <family val="2"/>
      <charset val="238"/>
    </font>
    <font>
      <b/>
      <sz val="12"/>
      <color rgb="FF000000"/>
      <name val="Calibri"/>
      <family val="2"/>
      <charset val="238"/>
    </font>
    <font>
      <sz val="12"/>
      <color rgb="FF0000FF"/>
      <name val="Calibri"/>
      <family val="2"/>
      <charset val="238"/>
    </font>
    <font>
      <sz val="12"/>
      <color theme="1"/>
      <name val="Aptos Narrow"/>
      <family val="2"/>
    </font>
    <font>
      <b/>
      <sz val="11"/>
      <color rgb="FFFF0000"/>
      <name val="Calibri"/>
      <family val="2"/>
      <charset val="238"/>
    </font>
    <font>
      <b/>
      <sz val="18"/>
      <color theme="6" tint="-0.499984740745262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i/>
      <sz val="11"/>
      <color theme="2" tint="-0.749992370372631"/>
      <name val="Calibri"/>
      <family val="2"/>
      <charset val="238"/>
      <scheme val="minor"/>
    </font>
    <font>
      <i/>
      <sz val="11"/>
      <color theme="2" tint="-0.749992370372631"/>
      <name val="Calibri"/>
      <family val="2"/>
      <charset val="238"/>
      <scheme val="minor"/>
    </font>
    <font>
      <b/>
      <vertAlign val="superscript"/>
      <sz val="11"/>
      <color indexed="8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9"/>
      <color rgb="FF000000"/>
      <name val="Calibri"/>
      <family val="2"/>
      <charset val="238"/>
    </font>
    <font>
      <b/>
      <sz val="11"/>
      <color theme="2" tint="-0.499984740745262"/>
      <name val="Calibri"/>
      <family val="2"/>
      <charset val="238"/>
      <scheme val="minor"/>
    </font>
    <font>
      <b/>
      <sz val="16"/>
      <color rgb="FF000000"/>
      <name val="Calibri"/>
      <family val="2"/>
      <charset val="238"/>
    </font>
    <font>
      <sz val="11"/>
      <color rgb="FF0000FF"/>
      <name val="Calibri"/>
      <family val="2"/>
      <charset val="238"/>
    </font>
    <font>
      <b/>
      <sz val="11"/>
      <color rgb="FF0000FF"/>
      <name val="Calibri"/>
      <family val="2"/>
      <charset val="238"/>
    </font>
    <font>
      <b/>
      <vertAlign val="subscript"/>
      <sz val="10"/>
      <color indexed="8"/>
      <name val="Calibri"/>
      <family val="2"/>
      <charset val="238"/>
      <scheme val="minor"/>
    </font>
    <font>
      <b/>
      <sz val="10"/>
      <color indexed="8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b/>
      <sz val="10"/>
      <color rgb="FFC00000"/>
      <name val="Calibri"/>
      <family val="2"/>
      <charset val="238"/>
      <scheme val="minor"/>
    </font>
    <font>
      <b/>
      <vertAlign val="subscript"/>
      <sz val="11"/>
      <color theme="1"/>
      <name val="Calibri"/>
      <family val="2"/>
      <charset val="238"/>
    </font>
    <font>
      <i/>
      <sz val="12"/>
      <color theme="1"/>
      <name val="Calibri"/>
      <family val="2"/>
      <charset val="238"/>
    </font>
    <font>
      <sz val="12"/>
      <color indexed="8"/>
      <name val="Calibri"/>
      <family val="2"/>
      <charset val="238"/>
    </font>
    <font>
      <b/>
      <sz val="12"/>
      <name val="Calibri"/>
      <family val="2"/>
      <charset val="238"/>
      <scheme val="minor"/>
    </font>
    <font>
      <sz val="12"/>
      <name val="Calibri"/>
      <family val="2"/>
      <charset val="238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DAEEF3"/>
        <bgColor rgb="FF000000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4D8AE"/>
        <bgColor indexed="64"/>
      </patternFill>
    </fill>
    <fill>
      <patternFill patternType="solid">
        <fgColor rgb="FFA6A6A6"/>
        <bgColor rgb="FF000000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4" tint="0.59999389629810485"/>
        <bgColor rgb="FF000000"/>
      </patternFill>
    </fill>
    <fill>
      <patternFill patternType="solid">
        <fgColor theme="2" tint="-0.249977111117893"/>
        <bgColor rgb="FF000000"/>
      </patternFill>
    </fill>
    <fill>
      <patternFill patternType="solid">
        <fgColor rgb="FFD8E4BC"/>
        <bgColor rgb="FF000000"/>
      </patternFill>
    </fill>
    <fill>
      <patternFill patternType="solid">
        <fgColor rgb="FFD9D9D9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theme="6" tint="0.59999389629810485"/>
        <bgColor rgb="FF000000"/>
      </patternFill>
    </fill>
    <fill>
      <patternFill patternType="solid">
        <fgColor rgb="FFCCFF99"/>
        <bgColor indexed="64"/>
      </patternFill>
    </fill>
    <fill>
      <patternFill patternType="solid">
        <fgColor rgb="FFDDDDDD"/>
        <bgColor rgb="FF000000"/>
      </patternFill>
    </fill>
    <fill>
      <patternFill patternType="solid">
        <fgColor rgb="FFDDDDDD"/>
        <bgColor indexed="64"/>
      </patternFill>
    </fill>
    <fill>
      <patternFill patternType="solid">
        <fgColor rgb="FFEAEAEA"/>
        <bgColor indexed="64"/>
      </patternFill>
    </fill>
  </fills>
  <borders count="10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thin">
        <color theme="1"/>
      </right>
      <top style="thin">
        <color theme="1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theme="1"/>
      </top>
      <bottom style="thin">
        <color indexed="64"/>
      </bottom>
      <diagonal/>
    </border>
    <border>
      <left/>
      <right style="thin">
        <color indexed="64"/>
      </right>
      <top style="thin">
        <color theme="1"/>
      </top>
      <bottom style="thin">
        <color indexed="64"/>
      </bottom>
      <diagonal/>
    </border>
    <border>
      <left style="thin">
        <color theme="1"/>
      </left>
      <right style="thin">
        <color rgb="FFFF0000"/>
      </right>
      <top style="thin">
        <color theme="1"/>
      </top>
      <bottom style="thin">
        <color rgb="FFFF0000"/>
      </bottom>
      <diagonal/>
    </border>
    <border>
      <left style="thin">
        <color rgb="FFFF0000"/>
      </left>
      <right style="thin">
        <color rgb="FFFF0000"/>
      </right>
      <top style="thin">
        <color theme="1"/>
      </top>
      <bottom style="thin">
        <color rgb="FFFF0000"/>
      </bottom>
      <diagonal/>
    </border>
    <border>
      <left style="thin">
        <color rgb="FFFF0000"/>
      </left>
      <right style="thin">
        <color theme="1"/>
      </right>
      <top style="thin">
        <color theme="1"/>
      </top>
      <bottom style="thin">
        <color rgb="FFFF0000"/>
      </bottom>
      <diagonal/>
    </border>
    <border>
      <left style="thin">
        <color theme="1"/>
      </left>
      <right style="thin">
        <color rgb="FFFF0000"/>
      </right>
      <top style="thin">
        <color rgb="FFFF0000"/>
      </top>
      <bottom style="thin">
        <color theme="1"/>
      </bottom>
      <diagonal/>
    </border>
    <border>
      <left style="thin">
        <color rgb="FFFF0000"/>
      </left>
      <right style="thin">
        <color rgb="FFFF0000"/>
      </right>
      <top style="thin">
        <color rgb="FFFF0000"/>
      </top>
      <bottom style="thin">
        <color theme="1"/>
      </bottom>
      <diagonal/>
    </border>
    <border>
      <left style="thin">
        <color rgb="FFFF0000"/>
      </left>
      <right style="thin">
        <color theme="1"/>
      </right>
      <top style="thin">
        <color rgb="FFFF0000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/>
      <bottom/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medium">
        <color rgb="FFFF0000"/>
      </right>
      <top style="medium">
        <color rgb="FFFF0000"/>
      </top>
      <bottom/>
      <diagonal/>
    </border>
    <border>
      <left/>
      <right/>
      <top style="thin">
        <color rgb="FFC00000"/>
      </top>
      <bottom/>
      <diagonal/>
    </border>
    <border>
      <left style="thin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medium">
        <color rgb="FFFF0000"/>
      </bottom>
      <diagonal/>
    </border>
    <border>
      <left/>
      <right style="medium">
        <color rgb="FFFF0000"/>
      </right>
      <top/>
      <bottom/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 style="thin">
        <color theme="1"/>
      </right>
      <top/>
      <bottom style="thin">
        <color theme="1"/>
      </bottom>
      <diagonal/>
    </border>
    <border>
      <left style="medium">
        <color rgb="FFFF0000"/>
      </left>
      <right/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medium">
        <color rgb="FFFF0000"/>
      </left>
      <right/>
      <top style="thin">
        <color theme="1"/>
      </top>
      <bottom/>
      <diagonal/>
    </border>
    <border>
      <left style="medium">
        <color rgb="FFFF0000"/>
      </left>
      <right style="thin">
        <color theme="1"/>
      </right>
      <top style="thin">
        <color theme="1"/>
      </top>
      <bottom style="medium">
        <color rgb="FFFF0000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rgb="FFFF0000"/>
      </bottom>
      <diagonal/>
    </border>
    <border>
      <left style="thin">
        <color theme="1"/>
      </left>
      <right style="medium">
        <color rgb="FFFF0000"/>
      </right>
      <top style="thin">
        <color theme="1"/>
      </top>
      <bottom style="medium">
        <color rgb="FFFF0000"/>
      </bottom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indexed="64"/>
      </bottom>
      <diagonal/>
    </border>
    <border>
      <left/>
      <right style="medium">
        <color rgb="FF0000FF"/>
      </right>
      <top style="thin">
        <color theme="1"/>
      </top>
      <bottom style="thin">
        <color indexed="64"/>
      </bottom>
      <diagonal/>
    </border>
    <border>
      <left/>
      <right style="medium">
        <color rgb="FF0000FF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medium">
        <color rgb="FF0000FF"/>
      </right>
      <top style="thin">
        <color indexed="64"/>
      </top>
      <bottom style="thin">
        <color theme="1"/>
      </bottom>
      <diagonal/>
    </border>
    <border>
      <left/>
      <right style="medium">
        <color rgb="FF0000FF"/>
      </right>
      <top style="thin">
        <color indexed="64"/>
      </top>
      <bottom style="medium">
        <color rgb="FF0000FF"/>
      </bottom>
      <diagonal/>
    </border>
    <border>
      <left style="thin">
        <color theme="1"/>
      </left>
      <right/>
      <top/>
      <bottom style="medium">
        <color rgb="FF0000FF"/>
      </bottom>
      <diagonal/>
    </border>
    <border>
      <left/>
      <right style="thin">
        <color theme="1"/>
      </right>
      <top/>
      <bottom style="medium">
        <color rgb="FF0000FF"/>
      </bottom>
      <diagonal/>
    </border>
    <border>
      <left style="medium">
        <color rgb="FF0000FF"/>
      </left>
      <right/>
      <top style="thin">
        <color indexed="64"/>
      </top>
      <bottom style="medium">
        <color rgb="FF0000FF"/>
      </bottom>
      <diagonal/>
    </border>
    <border>
      <left style="medium">
        <color rgb="FF0000FF"/>
      </left>
      <right/>
      <top style="thin">
        <color indexed="64"/>
      </top>
      <bottom style="thin">
        <color indexed="64"/>
      </bottom>
      <diagonal/>
    </border>
    <border>
      <left style="medium">
        <color rgb="FF0000FF"/>
      </left>
      <right/>
      <top style="medium">
        <color rgb="FF0000FF"/>
      </top>
      <bottom style="thin">
        <color indexed="64"/>
      </bottom>
      <diagonal/>
    </border>
    <border>
      <left/>
      <right style="medium">
        <color rgb="FF0000FF"/>
      </right>
      <top style="medium">
        <color rgb="FF0000FF"/>
      </top>
      <bottom style="thin">
        <color indexed="64"/>
      </bottom>
      <diagonal/>
    </border>
    <border>
      <left/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1"/>
      </top>
      <bottom/>
      <diagonal/>
    </border>
    <border>
      <left/>
      <right style="medium">
        <color rgb="FFFF0000"/>
      </right>
      <top style="thin">
        <color theme="1"/>
      </top>
      <bottom/>
      <diagonal/>
    </border>
    <border>
      <left style="medium">
        <color rgb="FFFF0000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theme="1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/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/>
      <top/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/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 style="thin">
        <color theme="1"/>
      </bottom>
      <diagonal/>
    </border>
    <border>
      <left style="medium">
        <color theme="1"/>
      </left>
      <right style="medium">
        <color theme="1"/>
      </right>
      <top style="thin">
        <color theme="1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medium">
        <color theme="1"/>
      </right>
      <top style="medium">
        <color theme="1"/>
      </top>
      <bottom/>
      <diagonal/>
    </border>
    <border>
      <left/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 style="medium">
        <color theme="1"/>
      </bottom>
      <diagonal/>
    </border>
    <border>
      <left style="thin">
        <color indexed="64"/>
      </left>
      <right/>
      <top style="medium">
        <color theme="1"/>
      </top>
      <bottom style="thin">
        <color indexed="64"/>
      </bottom>
      <diagonal/>
    </border>
    <border>
      <left/>
      <right/>
      <top style="medium">
        <color theme="1"/>
      </top>
      <bottom style="thin">
        <color indexed="64"/>
      </bottom>
      <diagonal/>
    </border>
    <border>
      <left/>
      <right style="medium">
        <color theme="1"/>
      </right>
      <top style="medium">
        <color theme="1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FF"/>
      </top>
      <bottom/>
      <diagonal/>
    </border>
    <border>
      <left style="medium">
        <color rgb="FFFF0000"/>
      </left>
      <right style="thin">
        <color theme="1"/>
      </right>
      <top style="medium">
        <color rgb="FFFF0000"/>
      </top>
      <bottom style="medium">
        <color rgb="FFFF0000"/>
      </bottom>
      <diagonal/>
    </border>
    <border>
      <left/>
      <right style="thin">
        <color theme="1"/>
      </right>
      <top style="thin">
        <color rgb="FF0000FF"/>
      </top>
      <bottom/>
      <diagonal/>
    </border>
    <border>
      <left style="thin">
        <color rgb="FF0000FF"/>
      </left>
      <right style="thin">
        <color theme="1"/>
      </right>
      <top style="thin">
        <color rgb="FF0000FF"/>
      </top>
      <bottom/>
      <diagonal/>
    </border>
  </borders>
  <cellStyleXfs count="2">
    <xf numFmtId="0" fontId="0" fillId="0" borderId="0"/>
    <xf numFmtId="0" fontId="1" fillId="0" borderId="0"/>
  </cellStyleXfs>
  <cellXfs count="1006">
    <xf numFmtId="0" fontId="0" fillId="0" borderId="0" xfId="0"/>
    <xf numFmtId="0" fontId="10" fillId="0" borderId="0" xfId="0" applyFont="1"/>
    <xf numFmtId="0" fontId="12" fillId="0" borderId="0" xfId="0" applyFont="1"/>
    <xf numFmtId="0" fontId="13" fillId="0" borderId="0" xfId="0" applyFont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1" fillId="0" borderId="0" xfId="0" applyFont="1"/>
    <xf numFmtId="0" fontId="14" fillId="0" borderId="0" xfId="0" applyFont="1"/>
    <xf numFmtId="165" fontId="15" fillId="0" borderId="1" xfId="0" applyNumberFormat="1" applyFont="1" applyBorder="1" applyAlignment="1" applyProtection="1">
      <alignment horizontal="right" indent="1"/>
      <protection locked="0"/>
    </xf>
    <xf numFmtId="4" fontId="0" fillId="0" borderId="2" xfId="0" applyNumberFormat="1" applyBorder="1" applyAlignment="1" applyProtection="1">
      <alignment horizontal="right" vertical="center" indent="2"/>
      <protection locked="0"/>
    </xf>
    <xf numFmtId="4" fontId="0" fillId="0" borderId="3" xfId="0" applyNumberFormat="1" applyBorder="1" applyAlignment="1" applyProtection="1">
      <alignment horizontal="right" vertical="center" indent="2"/>
      <protection locked="0"/>
    </xf>
    <xf numFmtId="0" fontId="0" fillId="0" borderId="0" xfId="0" applyProtection="1">
      <protection hidden="1"/>
    </xf>
    <xf numFmtId="0" fontId="16" fillId="3" borderId="1" xfId="0" applyFont="1" applyFill="1" applyBorder="1" applyAlignment="1" applyProtection="1">
      <alignment horizontal="center" vertical="center"/>
      <protection hidden="1"/>
    </xf>
    <xf numFmtId="0" fontId="16" fillId="4" borderId="1" xfId="0" applyFont="1" applyFill="1" applyBorder="1" applyAlignment="1" applyProtection="1">
      <alignment horizontal="center" vertical="center"/>
      <protection hidden="1"/>
    </xf>
    <xf numFmtId="0" fontId="16" fillId="5" borderId="4" xfId="0" applyFont="1" applyFill="1" applyBorder="1" applyAlignment="1" applyProtection="1">
      <alignment horizontal="left"/>
      <protection hidden="1"/>
    </xf>
    <xf numFmtId="165" fontId="15" fillId="3" borderId="1" xfId="0" applyNumberFormat="1" applyFont="1" applyFill="1" applyBorder="1" applyAlignment="1" applyProtection="1">
      <alignment horizontal="right" indent="1"/>
      <protection hidden="1"/>
    </xf>
    <xf numFmtId="0" fontId="16" fillId="5" borderId="4" xfId="0" applyFont="1" applyFill="1" applyBorder="1" applyProtection="1">
      <protection hidden="1"/>
    </xf>
    <xf numFmtId="0" fontId="6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10" fillId="0" borderId="0" xfId="0" applyFont="1" applyProtection="1">
      <protection hidden="1"/>
    </xf>
    <xf numFmtId="0" fontId="12" fillId="0" borderId="0" xfId="0" applyFont="1" applyProtection="1">
      <protection hidden="1"/>
    </xf>
    <xf numFmtId="0" fontId="0" fillId="0" borderId="0" xfId="0" applyAlignment="1">
      <alignment horizontal="center"/>
    </xf>
    <xf numFmtId="0" fontId="16" fillId="0" borderId="0" xfId="0" applyFont="1" applyAlignment="1" applyProtection="1">
      <alignment horizontal="left"/>
      <protection hidden="1"/>
    </xf>
    <xf numFmtId="4" fontId="15" fillId="0" borderId="0" xfId="0" applyNumberFormat="1" applyFont="1" applyAlignment="1" applyProtection="1">
      <alignment horizontal="right" indent="2"/>
      <protection hidden="1"/>
    </xf>
    <xf numFmtId="165" fontId="0" fillId="0" borderId="0" xfId="0" applyNumberFormat="1" applyAlignment="1" applyProtection="1">
      <alignment horizontal="right" indent="1"/>
      <protection hidden="1"/>
    </xf>
    <xf numFmtId="164" fontId="0" fillId="0" borderId="0" xfId="0" applyNumberFormat="1" applyProtection="1">
      <protection hidden="1"/>
    </xf>
    <xf numFmtId="4" fontId="0" fillId="0" borderId="0" xfId="0" applyNumberFormat="1" applyAlignment="1" applyProtection="1">
      <alignment horizontal="center"/>
      <protection hidden="1"/>
    </xf>
    <xf numFmtId="2" fontId="0" fillId="0" borderId="3" xfId="0" applyNumberFormat="1" applyBorder="1" applyAlignment="1" applyProtection="1">
      <alignment horizontal="right" vertical="center" indent="2"/>
      <protection locked="0"/>
    </xf>
    <xf numFmtId="0" fontId="10" fillId="4" borderId="1" xfId="0" applyFont="1" applyFill="1" applyBorder="1" applyAlignment="1" applyProtection="1">
      <alignment horizontal="center" vertical="center" wrapText="1"/>
      <protection hidden="1"/>
    </xf>
    <xf numFmtId="0" fontId="10" fillId="0" borderId="0" xfId="0" applyFont="1" applyAlignment="1">
      <alignment horizontal="center"/>
    </xf>
    <xf numFmtId="0" fontId="10" fillId="7" borderId="1" xfId="0" applyFont="1" applyFill="1" applyBorder="1" applyAlignment="1">
      <alignment horizontal="center" vertical="top" wrapText="1"/>
    </xf>
    <xf numFmtId="0" fontId="0" fillId="8" borderId="1" xfId="0" applyFill="1" applyBorder="1" applyAlignment="1">
      <alignment vertical="center"/>
    </xf>
    <xf numFmtId="9" fontId="0" fillId="7" borderId="6" xfId="0" applyNumberFormat="1" applyFill="1" applyBorder="1" applyAlignment="1">
      <alignment vertical="center"/>
    </xf>
    <xf numFmtId="165" fontId="17" fillId="7" borderId="1" xfId="0" applyNumberFormat="1" applyFont="1" applyFill="1" applyBorder="1" applyAlignment="1">
      <alignment horizontal="right" vertical="center" indent="1"/>
    </xf>
    <xf numFmtId="0" fontId="0" fillId="8" borderId="2" xfId="0" applyFill="1" applyBorder="1" applyAlignment="1">
      <alignment vertical="center"/>
    </xf>
    <xf numFmtId="164" fontId="0" fillId="8" borderId="1" xfId="0" applyNumberFormat="1" applyFill="1" applyBorder="1" applyAlignment="1">
      <alignment vertical="center"/>
    </xf>
    <xf numFmtId="0" fontId="18" fillId="8" borderId="2" xfId="0" applyFont="1" applyFill="1" applyBorder="1" applyAlignment="1">
      <alignment vertical="center"/>
    </xf>
    <xf numFmtId="165" fontId="17" fillId="9" borderId="1" xfId="0" applyNumberFormat="1" applyFont="1" applyFill="1" applyBorder="1" applyAlignment="1">
      <alignment horizontal="right" vertical="center" indent="1"/>
    </xf>
    <xf numFmtId="0" fontId="19" fillId="0" borderId="0" xfId="0" applyFont="1"/>
    <xf numFmtId="0" fontId="20" fillId="0" borderId="0" xfId="0" applyFont="1" applyAlignment="1">
      <alignment horizontal="center" vertical="center"/>
    </xf>
    <xf numFmtId="0" fontId="0" fillId="0" borderId="0" xfId="0" applyAlignment="1">
      <alignment vertical="top"/>
    </xf>
    <xf numFmtId="0" fontId="2" fillId="11" borderId="1" xfId="0" applyFont="1" applyFill="1" applyBorder="1" applyAlignment="1">
      <alignment horizontal="center" vertical="top" wrapText="1"/>
    </xf>
    <xf numFmtId="0" fontId="10" fillId="11" borderId="1" xfId="0" applyFont="1" applyFill="1" applyBorder="1" applyAlignment="1">
      <alignment horizontal="center" vertical="top" wrapText="1"/>
    </xf>
    <xf numFmtId="0" fontId="0" fillId="12" borderId="1" xfId="0" applyFill="1" applyBorder="1" applyAlignment="1">
      <alignment horizontal="center" vertical="top" wrapText="1"/>
    </xf>
    <xf numFmtId="0" fontId="10" fillId="0" borderId="0" xfId="0" applyFont="1" applyAlignment="1">
      <alignment vertical="top"/>
    </xf>
    <xf numFmtId="2" fontId="0" fillId="7" borderId="1" xfId="0" applyNumberFormat="1" applyFill="1" applyBorder="1" applyAlignment="1">
      <alignment horizontal="right" vertical="center" indent="2"/>
    </xf>
    <xf numFmtId="4" fontId="0" fillId="11" borderId="5" xfId="0" applyNumberFormat="1" applyFill="1" applyBorder="1" applyAlignment="1">
      <alignment horizontal="right" vertical="center" indent="2"/>
    </xf>
    <xf numFmtId="4" fontId="0" fillId="11" borderId="4" xfId="0" applyNumberFormat="1" applyFill="1" applyBorder="1" applyAlignment="1">
      <alignment horizontal="left" vertical="center" indent="2"/>
    </xf>
    <xf numFmtId="165" fontId="0" fillId="11" borderId="2" xfId="0" applyNumberFormat="1" applyFill="1" applyBorder="1" applyAlignment="1">
      <alignment horizontal="left" vertical="center"/>
    </xf>
    <xf numFmtId="4" fontId="0" fillId="11" borderId="1" xfId="0" applyNumberFormat="1" applyFill="1" applyBorder="1" applyAlignment="1">
      <alignment horizontal="right" vertical="center" indent="2"/>
    </xf>
    <xf numFmtId="4" fontId="21" fillId="11" borderId="3" xfId="0" applyNumberFormat="1" applyFont="1" applyFill="1" applyBorder="1" applyAlignment="1">
      <alignment horizontal="center" vertical="center"/>
    </xf>
    <xf numFmtId="164" fontId="0" fillId="7" borderId="3" xfId="0" applyNumberFormat="1" applyFill="1" applyBorder="1" applyAlignment="1">
      <alignment horizontal="left" vertical="center"/>
    </xf>
    <xf numFmtId="9" fontId="0" fillId="11" borderId="3" xfId="0" applyNumberFormat="1" applyFill="1" applyBorder="1" applyAlignment="1">
      <alignment vertical="center"/>
    </xf>
    <xf numFmtId="165" fontId="17" fillId="11" borderId="1" xfId="0" applyNumberFormat="1" applyFont="1" applyFill="1" applyBorder="1" applyAlignment="1">
      <alignment horizontal="right" vertical="center" indent="1"/>
    </xf>
    <xf numFmtId="165" fontId="0" fillId="9" borderId="1" xfId="0" applyNumberFormat="1" applyFill="1" applyBorder="1" applyAlignment="1">
      <alignment vertical="center"/>
    </xf>
    <xf numFmtId="9" fontId="0" fillId="7" borderId="4" xfId="0" applyNumberFormat="1" applyFill="1" applyBorder="1" applyAlignment="1">
      <alignment vertical="center"/>
    </xf>
    <xf numFmtId="9" fontId="0" fillId="11" borderId="1" xfId="0" applyNumberFormat="1" applyFill="1" applyBorder="1" applyAlignment="1">
      <alignment vertical="center"/>
    </xf>
    <xf numFmtId="3" fontId="0" fillId="4" borderId="1" xfId="0" applyNumberFormat="1" applyFill="1" applyBorder="1" applyAlignment="1">
      <alignment vertical="center"/>
    </xf>
    <xf numFmtId="4" fontId="0" fillId="9" borderId="2" xfId="0" applyNumberFormat="1" applyFill="1" applyBorder="1" applyAlignment="1">
      <alignment horizontal="right" vertical="center" indent="2"/>
    </xf>
    <xf numFmtId="4" fontId="0" fillId="9" borderId="5" xfId="0" applyNumberFormat="1" applyFill="1" applyBorder="1" applyAlignment="1">
      <alignment horizontal="right" vertical="center" indent="2"/>
    </xf>
    <xf numFmtId="4" fontId="0" fillId="9" borderId="4" xfId="0" applyNumberFormat="1" applyFill="1" applyBorder="1" applyAlignment="1">
      <alignment horizontal="left" vertical="center" indent="2"/>
    </xf>
    <xf numFmtId="165" fontId="0" fillId="9" borderId="2" xfId="0" applyNumberFormat="1" applyFill="1" applyBorder="1" applyAlignment="1">
      <alignment horizontal="left" vertical="center"/>
    </xf>
    <xf numFmtId="4" fontId="0" fillId="9" borderId="1" xfId="0" applyNumberFormat="1" applyFill="1" applyBorder="1" applyAlignment="1">
      <alignment horizontal="right" vertical="center" indent="2"/>
    </xf>
    <xf numFmtId="4" fontId="22" fillId="9" borderId="3" xfId="0" applyNumberFormat="1" applyFont="1" applyFill="1" applyBorder="1" applyAlignment="1">
      <alignment horizontal="center" vertical="center"/>
    </xf>
    <xf numFmtId="4" fontId="18" fillId="9" borderId="4" xfId="0" applyNumberFormat="1" applyFont="1" applyFill="1" applyBorder="1" applyAlignment="1">
      <alignment horizontal="left" vertical="center" indent="2"/>
    </xf>
    <xf numFmtId="165" fontId="18" fillId="9" borderId="2" xfId="0" applyNumberFormat="1" applyFont="1" applyFill="1" applyBorder="1" applyAlignment="1">
      <alignment horizontal="left" vertical="center"/>
    </xf>
    <xf numFmtId="9" fontId="10" fillId="9" borderId="1" xfId="0" applyNumberFormat="1" applyFont="1" applyFill="1" applyBorder="1" applyAlignment="1">
      <alignment vertical="center"/>
    </xf>
    <xf numFmtId="9" fontId="0" fillId="9" borderId="1" xfId="0" applyNumberFormat="1" applyFill="1" applyBorder="1" applyAlignment="1">
      <alignment vertical="center"/>
    </xf>
    <xf numFmtId="3" fontId="0" fillId="9" borderId="1" xfId="0" applyNumberFormat="1" applyFill="1" applyBorder="1" applyAlignment="1">
      <alignment vertical="center"/>
    </xf>
    <xf numFmtId="4" fontId="22" fillId="9" borderId="1" xfId="0" applyNumberFormat="1" applyFont="1" applyFill="1" applyBorder="1" applyAlignment="1">
      <alignment horizontal="center" vertical="center"/>
    </xf>
    <xf numFmtId="164" fontId="0" fillId="7" borderId="1" xfId="0" applyNumberFormat="1" applyFill="1" applyBorder="1" applyAlignment="1">
      <alignment horizontal="left" vertical="center"/>
    </xf>
    <xf numFmtId="4" fontId="0" fillId="9" borderId="9" xfId="0" applyNumberFormat="1" applyFill="1" applyBorder="1" applyAlignment="1">
      <alignment horizontal="right" vertical="center" indent="2"/>
    </xf>
    <xf numFmtId="2" fontId="0" fillId="9" borderId="9" xfId="0" applyNumberFormat="1" applyFill="1" applyBorder="1" applyAlignment="1">
      <alignment horizontal="right" vertical="center" indent="2"/>
    </xf>
    <xf numFmtId="164" fontId="0" fillId="9" borderId="1" xfId="0" applyNumberFormat="1" applyFill="1" applyBorder="1" applyAlignment="1">
      <alignment horizontal="center" vertical="center"/>
    </xf>
    <xf numFmtId="9" fontId="0" fillId="9" borderId="4" xfId="0" applyNumberFormat="1" applyFill="1" applyBorder="1" applyAlignment="1">
      <alignment vertical="center"/>
    </xf>
    <xf numFmtId="0" fontId="0" fillId="9" borderId="1" xfId="0" applyFill="1" applyBorder="1" applyAlignment="1">
      <alignment vertical="center"/>
    </xf>
    <xf numFmtId="3" fontId="0" fillId="9" borderId="3" xfId="0" applyNumberFormat="1" applyFill="1" applyBorder="1" applyAlignment="1">
      <alignment vertical="center"/>
    </xf>
    <xf numFmtId="4" fontId="10" fillId="10" borderId="1" xfId="0" applyNumberFormat="1" applyFont="1" applyFill="1" applyBorder="1" applyAlignment="1">
      <alignment horizontal="right" vertical="center" indent="2"/>
    </xf>
    <xf numFmtId="4" fontId="10" fillId="10" borderId="9" xfId="0" applyNumberFormat="1" applyFont="1" applyFill="1" applyBorder="1" applyAlignment="1">
      <alignment horizontal="right" vertical="center" indent="2"/>
    </xf>
    <xf numFmtId="2" fontId="0" fillId="10" borderId="9" xfId="0" applyNumberFormat="1" applyFill="1" applyBorder="1" applyAlignment="1">
      <alignment horizontal="right" vertical="center" indent="2"/>
    </xf>
    <xf numFmtId="4" fontId="18" fillId="10" borderId="4" xfId="0" applyNumberFormat="1" applyFont="1" applyFill="1" applyBorder="1" applyAlignment="1">
      <alignment horizontal="left" vertical="center" indent="2"/>
    </xf>
    <xf numFmtId="165" fontId="18" fillId="10" borderId="2" xfId="0" applyNumberFormat="1" applyFont="1" applyFill="1" applyBorder="1" applyAlignment="1">
      <alignment horizontal="left" vertical="center"/>
    </xf>
    <xf numFmtId="4" fontId="21" fillId="10" borderId="1" xfId="0" applyNumberFormat="1" applyFont="1" applyFill="1" applyBorder="1" applyAlignment="1">
      <alignment horizontal="center" vertical="center"/>
    </xf>
    <xf numFmtId="164" fontId="12" fillId="10" borderId="1" xfId="0" applyNumberFormat="1" applyFont="1" applyFill="1" applyBorder="1" applyAlignment="1">
      <alignment horizontal="right" vertical="center" indent="2"/>
    </xf>
    <xf numFmtId="164" fontId="10" fillId="10" borderId="1" xfId="0" applyNumberFormat="1" applyFont="1" applyFill="1" applyBorder="1" applyAlignment="1">
      <alignment horizontal="right" vertical="center" indent="2"/>
    </xf>
    <xf numFmtId="164" fontId="10" fillId="0" borderId="3" xfId="0" applyNumberFormat="1" applyFont="1" applyBorder="1" applyAlignment="1">
      <alignment vertical="center"/>
    </xf>
    <xf numFmtId="164" fontId="10" fillId="0" borderId="0" xfId="0" applyNumberFormat="1" applyFont="1"/>
    <xf numFmtId="164" fontId="0" fillId="7" borderId="3" xfId="0" applyNumberFormat="1" applyFill="1" applyBorder="1" applyAlignment="1" applyProtection="1">
      <alignment horizontal="left" vertical="center"/>
      <protection locked="0"/>
    </xf>
    <xf numFmtId="0" fontId="16" fillId="3" borderId="1" xfId="0" applyFont="1" applyFill="1" applyBorder="1" applyAlignment="1">
      <alignment horizontal="center" vertical="center"/>
    </xf>
    <xf numFmtId="0" fontId="23" fillId="0" borderId="0" xfId="0" applyFont="1" applyProtection="1">
      <protection hidden="1"/>
    </xf>
    <xf numFmtId="4" fontId="23" fillId="0" borderId="0" xfId="0" applyNumberFormat="1" applyFont="1" applyProtection="1">
      <protection hidden="1"/>
    </xf>
    <xf numFmtId="0" fontId="14" fillId="0" borderId="0" xfId="0" applyFont="1" applyAlignment="1" applyProtection="1">
      <alignment horizontal="right"/>
      <protection hidden="1"/>
    </xf>
    <xf numFmtId="164" fontId="10" fillId="0" borderId="1" xfId="0" applyNumberFormat="1" applyFont="1" applyBorder="1" applyAlignment="1">
      <alignment vertical="center"/>
    </xf>
    <xf numFmtId="0" fontId="16" fillId="5" borderId="1" xfId="0" applyFont="1" applyFill="1" applyBorder="1" applyAlignment="1" applyProtection="1">
      <alignment horizontal="left"/>
      <protection hidden="1"/>
    </xf>
    <xf numFmtId="0" fontId="16" fillId="5" borderId="1" xfId="0" applyFont="1" applyFill="1" applyBorder="1" applyAlignment="1" applyProtection="1">
      <alignment horizontal="right" indent="1"/>
      <protection hidden="1"/>
    </xf>
    <xf numFmtId="165" fontId="16" fillId="5" borderId="1" xfId="0" applyNumberFormat="1" applyFont="1" applyFill="1" applyBorder="1" applyAlignment="1" applyProtection="1">
      <alignment horizontal="right" indent="1"/>
      <protection hidden="1"/>
    </xf>
    <xf numFmtId="165" fontId="0" fillId="13" borderId="1" xfId="0" applyNumberFormat="1" applyFill="1" applyBorder="1" applyAlignment="1" applyProtection="1">
      <alignment horizontal="right" indent="1"/>
      <protection hidden="1"/>
    </xf>
    <xf numFmtId="4" fontId="0" fillId="10" borderId="10" xfId="0" applyNumberFormat="1" applyFill="1" applyBorder="1" applyAlignment="1">
      <alignment horizontal="right" vertical="top" indent="2"/>
    </xf>
    <xf numFmtId="0" fontId="10" fillId="10" borderId="6" xfId="0" applyFont="1" applyFill="1" applyBorder="1" applyAlignment="1">
      <alignment horizontal="center" vertical="top" wrapText="1"/>
    </xf>
    <xf numFmtId="0" fontId="0" fillId="0" borderId="0" xfId="0" applyAlignment="1">
      <alignment horizontal="left"/>
    </xf>
    <xf numFmtId="0" fontId="9" fillId="0" borderId="0" xfId="0" applyFont="1" applyAlignment="1">
      <alignment vertical="center"/>
    </xf>
    <xf numFmtId="0" fontId="18" fillId="0" borderId="0" xfId="0" applyFont="1" applyAlignment="1">
      <alignment vertical="center"/>
    </xf>
    <xf numFmtId="0" fontId="31" fillId="0" borderId="0" xfId="0" applyFont="1" applyAlignment="1">
      <alignment vertical="top" wrapText="1"/>
    </xf>
    <xf numFmtId="164" fontId="10" fillId="9" borderId="1" xfId="0" applyNumberFormat="1" applyFont="1" applyFill="1" applyBorder="1" applyAlignment="1">
      <alignment horizontal="left"/>
    </xf>
    <xf numFmtId="4" fontId="10" fillId="9" borderId="1" xfId="0" applyNumberFormat="1" applyFont="1" applyFill="1" applyBorder="1" applyAlignment="1">
      <alignment horizontal="right" indent="2"/>
    </xf>
    <xf numFmtId="0" fontId="10" fillId="9" borderId="1" xfId="0" applyFont="1" applyFill="1" applyBorder="1" applyAlignment="1">
      <alignment horizontal="center" vertical="center"/>
    </xf>
    <xf numFmtId="164" fontId="0" fillId="4" borderId="1" xfId="0" applyNumberFormat="1" applyFill="1" applyBorder="1" applyAlignment="1">
      <alignment horizontal="right" indent="3"/>
    </xf>
    <xf numFmtId="164" fontId="10" fillId="4" borderId="1" xfId="0" applyNumberFormat="1" applyFont="1" applyFill="1" applyBorder="1" applyAlignment="1">
      <alignment horizontal="right" indent="3"/>
    </xf>
    <xf numFmtId="0" fontId="16" fillId="4" borderId="1" xfId="0" applyFont="1" applyFill="1" applyBorder="1" applyAlignment="1">
      <alignment horizontal="center" vertical="center"/>
    </xf>
    <xf numFmtId="0" fontId="10" fillId="4" borderId="1" xfId="0" applyFont="1" applyFill="1" applyBorder="1" applyAlignment="1">
      <alignment horizontal="center" vertical="center" wrapText="1"/>
    </xf>
    <xf numFmtId="165" fontId="7" fillId="18" borderId="1" xfId="0" applyNumberFormat="1" applyFont="1" applyFill="1" applyBorder="1" applyAlignment="1">
      <alignment horizontal="right" indent="1"/>
    </xf>
    <xf numFmtId="165" fontId="15" fillId="19" borderId="1" xfId="0" applyNumberFormat="1" applyFont="1" applyFill="1" applyBorder="1" applyAlignment="1">
      <alignment horizontal="right" indent="1"/>
    </xf>
    <xf numFmtId="165" fontId="15" fillId="3" borderId="1" xfId="0" applyNumberFormat="1" applyFont="1" applyFill="1" applyBorder="1" applyAlignment="1">
      <alignment horizontal="right" indent="1"/>
    </xf>
    <xf numFmtId="165" fontId="7" fillId="21" borderId="1" xfId="0" applyNumberFormat="1" applyFont="1" applyFill="1" applyBorder="1" applyAlignment="1">
      <alignment horizontal="right" indent="1"/>
    </xf>
    <xf numFmtId="165" fontId="15" fillId="9" borderId="1" xfId="0" applyNumberFormat="1" applyFont="1" applyFill="1" applyBorder="1" applyAlignment="1">
      <alignment horizontal="right" indent="1"/>
    </xf>
    <xf numFmtId="165" fontId="15" fillId="9" borderId="1" xfId="0" applyNumberFormat="1" applyFont="1" applyFill="1" applyBorder="1" applyAlignment="1">
      <alignment horizontal="center"/>
    </xf>
    <xf numFmtId="0" fontId="16" fillId="9" borderId="1" xfId="0" applyFont="1" applyFill="1" applyBorder="1" applyAlignment="1">
      <alignment horizontal="center" vertical="center"/>
    </xf>
    <xf numFmtId="0" fontId="10" fillId="9" borderId="1" xfId="0" applyFont="1" applyFill="1" applyBorder="1"/>
    <xf numFmtId="167" fontId="0" fillId="0" borderId="0" xfId="0" applyNumberFormat="1" applyAlignment="1" applyProtection="1">
      <alignment vertical="center"/>
      <protection locked="0"/>
    </xf>
    <xf numFmtId="0" fontId="16" fillId="0" borderId="0" xfId="0" applyFont="1" applyAlignment="1" applyProtection="1">
      <alignment horizontal="center" vertical="center"/>
      <protection hidden="1"/>
    </xf>
    <xf numFmtId="165" fontId="0" fillId="0" borderId="0" xfId="0" applyNumberFormat="1" applyAlignment="1" applyProtection="1">
      <alignment horizontal="right"/>
      <protection hidden="1"/>
    </xf>
    <xf numFmtId="165" fontId="10" fillId="0" borderId="0" xfId="0" applyNumberFormat="1" applyFont="1" applyAlignment="1" applyProtection="1">
      <alignment horizontal="right"/>
      <protection hidden="1"/>
    </xf>
    <xf numFmtId="164" fontId="0" fillId="0" borderId="0" xfId="0" applyNumberFormat="1" applyAlignment="1" applyProtection="1">
      <alignment horizontal="right"/>
      <protection hidden="1"/>
    </xf>
    <xf numFmtId="164" fontId="10" fillId="0" borderId="0" xfId="0" applyNumberFormat="1" applyFont="1" applyAlignment="1" applyProtection="1">
      <alignment horizontal="right"/>
      <protection hidden="1"/>
    </xf>
    <xf numFmtId="164" fontId="10" fillId="4" borderId="1" xfId="0" applyNumberFormat="1" applyFont="1" applyFill="1" applyBorder="1" applyAlignment="1" applyProtection="1">
      <alignment horizontal="right" indent="1"/>
      <protection hidden="1"/>
    </xf>
    <xf numFmtId="0" fontId="11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0" fillId="12" borderId="1" xfId="0" applyFill="1" applyBorder="1" applyAlignment="1">
      <alignment vertical="center"/>
    </xf>
    <xf numFmtId="0" fontId="14" fillId="0" borderId="0" xfId="0" applyFont="1" applyAlignment="1">
      <alignment horizontal="left" vertical="center"/>
    </xf>
    <xf numFmtId="0" fontId="29" fillId="0" borderId="0" xfId="0" applyFont="1" applyAlignment="1">
      <alignment horizontal="left"/>
    </xf>
    <xf numFmtId="0" fontId="13" fillId="0" borderId="0" xfId="0" applyFont="1" applyProtection="1">
      <protection hidden="1"/>
    </xf>
    <xf numFmtId="0" fontId="20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29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textRotation="90"/>
    </xf>
    <xf numFmtId="0" fontId="10" fillId="10" borderId="1" xfId="0" applyFont="1" applyFill="1" applyBorder="1" applyAlignment="1">
      <alignment horizontal="center" vertical="top" wrapText="1"/>
    </xf>
    <xf numFmtId="0" fontId="10" fillId="16" borderId="1" xfId="0" applyFont="1" applyFill="1" applyBorder="1" applyAlignment="1">
      <alignment horizontal="center" vertical="top" wrapText="1"/>
    </xf>
    <xf numFmtId="0" fontId="10" fillId="16" borderId="2" xfId="0" applyFont="1" applyFill="1" applyBorder="1" applyAlignment="1">
      <alignment horizontal="center" vertical="top" wrapText="1"/>
    </xf>
    <xf numFmtId="2" fontId="10" fillId="16" borderId="1" xfId="0" applyNumberFormat="1" applyFont="1" applyFill="1" applyBorder="1" applyAlignment="1">
      <alignment horizontal="center" vertical="center"/>
    </xf>
    <xf numFmtId="4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 applyProtection="1">
      <alignment vertical="center"/>
      <protection hidden="1"/>
    </xf>
    <xf numFmtId="0" fontId="18" fillId="0" borderId="0" xfId="0" applyFont="1" applyAlignment="1" applyProtection="1">
      <alignment vertical="center"/>
      <protection hidden="1"/>
    </xf>
    <xf numFmtId="2" fontId="0" fillId="0" borderId="0" xfId="0" applyNumberFormat="1" applyAlignment="1">
      <alignment horizontal="right" vertical="center" indent="2"/>
    </xf>
    <xf numFmtId="9" fontId="0" fillId="9" borderId="6" xfId="0" applyNumberFormat="1" applyFill="1" applyBorder="1" applyAlignment="1">
      <alignment vertical="center"/>
    </xf>
    <xf numFmtId="4" fontId="10" fillId="22" borderId="1" xfId="0" applyNumberFormat="1" applyFont="1" applyFill="1" applyBorder="1" applyAlignment="1">
      <alignment horizontal="right" vertical="center" indent="2"/>
    </xf>
    <xf numFmtId="2" fontId="18" fillId="22" borderId="1" xfId="0" applyNumberFormat="1" applyFont="1" applyFill="1" applyBorder="1" applyAlignment="1">
      <alignment horizontal="right" vertical="center" indent="2"/>
    </xf>
    <xf numFmtId="2" fontId="10" fillId="22" borderId="1" xfId="0" applyNumberFormat="1" applyFont="1" applyFill="1" applyBorder="1" applyAlignment="1">
      <alignment horizontal="right" vertical="center" indent="2"/>
    </xf>
    <xf numFmtId="164" fontId="10" fillId="22" borderId="1" xfId="0" applyNumberFormat="1" applyFont="1" applyFill="1" applyBorder="1" applyAlignment="1">
      <alignment horizontal="right" vertical="center" indent="2"/>
    </xf>
    <xf numFmtId="4" fontId="10" fillId="0" borderId="0" xfId="0" applyNumberFormat="1" applyFont="1" applyAlignment="1">
      <alignment horizontal="right" vertical="center" indent="2"/>
    </xf>
    <xf numFmtId="164" fontId="12" fillId="22" borderId="1" xfId="0" applyNumberFormat="1" applyFont="1" applyFill="1" applyBorder="1" applyAlignment="1">
      <alignment horizontal="right" vertical="center" indent="2"/>
    </xf>
    <xf numFmtId="0" fontId="10" fillId="0" borderId="0" xfId="0" applyFont="1" applyAlignment="1" applyProtection="1">
      <alignment vertical="center"/>
      <protection hidden="1"/>
    </xf>
    <xf numFmtId="3" fontId="0" fillId="0" borderId="0" xfId="0" applyNumberFormat="1" applyAlignment="1">
      <alignment vertical="center"/>
    </xf>
    <xf numFmtId="2" fontId="12" fillId="0" borderId="0" xfId="0" applyNumberFormat="1" applyFont="1" applyAlignment="1" applyProtection="1">
      <alignment vertical="center"/>
      <protection locked="0"/>
    </xf>
    <xf numFmtId="2" fontId="0" fillId="0" borderId="0" xfId="0" applyNumberFormat="1" applyAlignment="1">
      <alignment horizontal="right" vertical="center"/>
    </xf>
    <xf numFmtId="2" fontId="12" fillId="0" borderId="0" xfId="0" applyNumberFormat="1" applyFont="1" applyAlignment="1">
      <alignment vertical="center"/>
    </xf>
    <xf numFmtId="0" fontId="10" fillId="0" borderId="0" xfId="0" applyFont="1" applyAlignment="1">
      <alignment horizontal="right"/>
    </xf>
    <xf numFmtId="164" fontId="12" fillId="0" borderId="0" xfId="0" applyNumberFormat="1" applyFont="1" applyProtection="1">
      <protection hidden="1"/>
    </xf>
    <xf numFmtId="0" fontId="0" fillId="8" borderId="4" xfId="0" applyFill="1" applyBorder="1" applyAlignment="1">
      <alignment horizontal="left" vertical="center"/>
    </xf>
    <xf numFmtId="0" fontId="18" fillId="8" borderId="4" xfId="0" applyFont="1" applyFill="1" applyBorder="1" applyAlignment="1">
      <alignment horizontal="left" vertical="center"/>
    </xf>
    <xf numFmtId="0" fontId="10" fillId="7" borderId="2" xfId="0" applyFont="1" applyFill="1" applyBorder="1" applyAlignment="1">
      <alignment horizontal="center" vertical="top" wrapText="1"/>
    </xf>
    <xf numFmtId="0" fontId="10" fillId="10" borderId="19" xfId="0" applyFont="1" applyFill="1" applyBorder="1" applyAlignment="1">
      <alignment horizontal="center" vertical="top" wrapText="1"/>
    </xf>
    <xf numFmtId="0" fontId="0" fillId="15" borderId="1" xfId="0" applyFill="1" applyBorder="1" applyAlignment="1">
      <alignment horizontal="center" vertical="top" wrapText="1"/>
    </xf>
    <xf numFmtId="3" fontId="0" fillId="15" borderId="1" xfId="0" applyNumberFormat="1" applyFill="1" applyBorder="1" applyAlignment="1">
      <alignment vertical="center"/>
    </xf>
    <xf numFmtId="0" fontId="10" fillId="15" borderId="1" xfId="0" applyFont="1" applyFill="1" applyBorder="1" applyAlignment="1">
      <alignment horizontal="center" vertical="top" wrapText="1"/>
    </xf>
    <xf numFmtId="3" fontId="0" fillId="15" borderId="3" xfId="0" applyNumberFormat="1" applyFill="1" applyBorder="1" applyAlignment="1">
      <alignment horizontal="right" vertical="center" indent="2"/>
    </xf>
    <xf numFmtId="3" fontId="10" fillId="15" borderId="3" xfId="0" applyNumberFormat="1" applyFont="1" applyFill="1" applyBorder="1" applyAlignment="1">
      <alignment vertical="center"/>
    </xf>
    <xf numFmtId="3" fontId="10" fillId="15" borderId="1" xfId="0" applyNumberFormat="1" applyFont="1" applyFill="1" applyBorder="1" applyAlignment="1">
      <alignment vertical="center"/>
    </xf>
    <xf numFmtId="0" fontId="10" fillId="12" borderId="1" xfId="0" applyFont="1" applyFill="1" applyBorder="1" applyAlignment="1">
      <alignment vertical="center"/>
    </xf>
    <xf numFmtId="3" fontId="10" fillId="12" borderId="1" xfId="0" applyNumberFormat="1" applyFont="1" applyFill="1" applyBorder="1" applyAlignment="1">
      <alignment vertical="center"/>
    </xf>
    <xf numFmtId="0" fontId="18" fillId="15" borderId="0" xfId="0" applyFont="1" applyFill="1" applyProtection="1">
      <protection hidden="1"/>
    </xf>
    <xf numFmtId="3" fontId="10" fillId="15" borderId="3" xfId="0" applyNumberFormat="1" applyFont="1" applyFill="1" applyBorder="1" applyAlignment="1">
      <alignment horizontal="right" vertical="center" indent="2"/>
    </xf>
    <xf numFmtId="0" fontId="0" fillId="0" borderId="0" xfId="0" applyAlignment="1">
      <alignment vertical="center" wrapText="1"/>
    </xf>
    <xf numFmtId="4" fontId="10" fillId="0" borderId="0" xfId="0" applyNumberFormat="1" applyFont="1" applyAlignment="1">
      <alignment horizontal="right"/>
    </xf>
    <xf numFmtId="4" fontId="12" fillId="0" borderId="0" xfId="0" applyNumberFormat="1" applyFont="1" applyAlignment="1">
      <alignment horizontal="right"/>
    </xf>
    <xf numFmtId="0" fontId="0" fillId="4" borderId="1" xfId="0" applyFill="1" applyBorder="1" applyAlignment="1">
      <alignment vertical="center"/>
    </xf>
    <xf numFmtId="0" fontId="18" fillId="4" borderId="1" xfId="0" applyFont="1" applyFill="1" applyBorder="1" applyAlignment="1">
      <alignment vertical="center"/>
    </xf>
    <xf numFmtId="4" fontId="10" fillId="11" borderId="1" xfId="0" applyNumberFormat="1" applyFont="1" applyFill="1" applyBorder="1" applyAlignment="1">
      <alignment horizontal="right" vertical="center" indent="2"/>
    </xf>
    <xf numFmtId="165" fontId="10" fillId="11" borderId="2" xfId="0" applyNumberFormat="1" applyFont="1" applyFill="1" applyBorder="1" applyAlignment="1">
      <alignment horizontal="right" vertical="center"/>
    </xf>
    <xf numFmtId="4" fontId="0" fillId="0" borderId="1" xfId="0" applyNumberFormat="1" applyBorder="1"/>
    <xf numFmtId="0" fontId="10" fillId="0" borderId="0" xfId="0" applyFont="1" applyAlignment="1">
      <alignment horizontal="left" vertical="center" wrapText="1"/>
    </xf>
    <xf numFmtId="4" fontId="0" fillId="23" borderId="4" xfId="0" applyNumberFormat="1" applyFill="1" applyBorder="1" applyAlignment="1">
      <alignment horizontal="left" vertical="center" indent="2"/>
    </xf>
    <xf numFmtId="165" fontId="10" fillId="23" borderId="2" xfId="0" applyNumberFormat="1" applyFont="1" applyFill="1" applyBorder="1" applyAlignment="1">
      <alignment horizontal="right" vertical="center"/>
    </xf>
    <xf numFmtId="4" fontId="10" fillId="23" borderId="1" xfId="0" applyNumberFormat="1" applyFont="1" applyFill="1" applyBorder="1" applyAlignment="1">
      <alignment horizontal="right" vertical="center" indent="2"/>
    </xf>
    <xf numFmtId="0" fontId="33" fillId="0" borderId="0" xfId="0" applyFont="1" applyAlignment="1">
      <alignment horizontal="left" vertical="center"/>
    </xf>
    <xf numFmtId="164" fontId="0" fillId="9" borderId="3" xfId="0" applyNumberFormat="1" applyFill="1" applyBorder="1" applyAlignment="1">
      <alignment horizontal="left" vertical="center"/>
    </xf>
    <xf numFmtId="164" fontId="12" fillId="22" borderId="1" xfId="0" applyNumberFormat="1" applyFont="1" applyFill="1" applyBorder="1" applyAlignment="1">
      <alignment horizontal="left" vertical="center" indent="2"/>
    </xf>
    <xf numFmtId="3" fontId="0" fillId="0" borderId="0" xfId="0" applyNumberFormat="1" applyAlignment="1">
      <alignment horizontal="left" vertical="center"/>
    </xf>
    <xf numFmtId="0" fontId="0" fillId="0" borderId="0" xfId="0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9" fillId="0" borderId="0" xfId="0" applyFont="1" applyAlignment="1">
      <alignment horizontal="left" vertical="center"/>
    </xf>
    <xf numFmtId="2" fontId="0" fillId="11" borderId="8" xfId="0" applyNumberFormat="1" applyFill="1" applyBorder="1" applyAlignment="1">
      <alignment horizontal="left" vertical="center"/>
    </xf>
    <xf numFmtId="2" fontId="0" fillId="9" borderId="8" xfId="0" applyNumberFormat="1" applyFill="1" applyBorder="1" applyAlignment="1">
      <alignment horizontal="left" vertical="center"/>
    </xf>
    <xf numFmtId="2" fontId="18" fillId="9" borderId="8" xfId="0" applyNumberFormat="1" applyFont="1" applyFill="1" applyBorder="1" applyAlignment="1">
      <alignment horizontal="left" vertical="center" indent="2"/>
    </xf>
    <xf numFmtId="164" fontId="10" fillId="10" borderId="1" xfId="0" applyNumberFormat="1" applyFont="1" applyFill="1" applyBorder="1" applyAlignment="1">
      <alignment horizontal="left" vertical="center" indent="2"/>
    </xf>
    <xf numFmtId="0" fontId="12" fillId="0" borderId="0" xfId="0" applyFont="1" applyAlignment="1">
      <alignment horizontal="left"/>
    </xf>
    <xf numFmtId="164" fontId="12" fillId="0" borderId="0" xfId="0" applyNumberFormat="1" applyFont="1" applyAlignment="1">
      <alignment horizontal="left"/>
    </xf>
    <xf numFmtId="0" fontId="32" fillId="14" borderId="0" xfId="0" applyFont="1" applyFill="1" applyAlignment="1" applyProtection="1">
      <alignment horizontal="left" vertical="top" wrapText="1"/>
      <protection hidden="1"/>
    </xf>
    <xf numFmtId="0" fontId="32" fillId="14" borderId="0" xfId="0" applyFont="1" applyFill="1" applyAlignment="1" applyProtection="1">
      <alignment horizontal="center" vertical="top" wrapText="1"/>
      <protection hidden="1"/>
    </xf>
    <xf numFmtId="0" fontId="54" fillId="10" borderId="7" xfId="0" applyFont="1" applyFill="1" applyBorder="1" applyAlignment="1">
      <alignment vertical="top" wrapText="1"/>
    </xf>
    <xf numFmtId="4" fontId="10" fillId="11" borderId="3" xfId="0" applyNumberFormat="1" applyFont="1" applyFill="1" applyBorder="1" applyAlignment="1">
      <alignment horizontal="center" vertical="center"/>
    </xf>
    <xf numFmtId="165" fontId="0" fillId="7" borderId="1" xfId="0" applyNumberFormat="1" applyFill="1" applyBorder="1" applyAlignment="1">
      <alignment horizontal="right" vertical="center" indent="1"/>
    </xf>
    <xf numFmtId="165" fontId="0" fillId="11" borderId="1" xfId="0" applyNumberFormat="1" applyFill="1" applyBorder="1" applyAlignment="1">
      <alignment horizontal="right" vertical="center" indent="1"/>
    </xf>
    <xf numFmtId="0" fontId="18" fillId="0" borderId="0" xfId="0" applyFont="1" applyAlignment="1">
      <alignment horizontal="center" vertical="center"/>
    </xf>
    <xf numFmtId="4" fontId="0" fillId="9" borderId="1" xfId="0" applyNumberFormat="1" applyFill="1" applyBorder="1" applyAlignment="1">
      <alignment horizontal="center" vertical="center"/>
    </xf>
    <xf numFmtId="4" fontId="0" fillId="10" borderId="3" xfId="0" applyNumberFormat="1" applyFill="1" applyBorder="1" applyAlignment="1">
      <alignment horizontal="right" vertical="center" indent="2"/>
    </xf>
    <xf numFmtId="166" fontId="0" fillId="16" borderId="8" xfId="0" applyNumberFormat="1" applyFill="1" applyBorder="1" applyAlignment="1">
      <alignment horizontal="right" vertical="center" indent="2"/>
    </xf>
    <xf numFmtId="2" fontId="0" fillId="16" borderId="8" xfId="0" applyNumberFormat="1" applyFill="1" applyBorder="1" applyAlignment="1">
      <alignment horizontal="right" vertical="center" indent="2"/>
    </xf>
    <xf numFmtId="0" fontId="0" fillId="0" borderId="0" xfId="0" applyAlignment="1">
      <alignment horizontal="left" vertical="top" wrapText="1"/>
    </xf>
    <xf numFmtId="4" fontId="0" fillId="0" borderId="0" xfId="0" applyNumberFormat="1" applyAlignment="1">
      <alignment horizontal="right" indent="3"/>
    </xf>
    <xf numFmtId="4" fontId="0" fillId="31" borderId="3" xfId="0" applyNumberFormat="1" applyFill="1" applyBorder="1" applyAlignment="1">
      <alignment horizontal="right" vertical="center" indent="2"/>
    </xf>
    <xf numFmtId="2" fontId="0" fillId="9" borderId="1" xfId="0" applyNumberFormat="1" applyFill="1" applyBorder="1" applyAlignment="1">
      <alignment horizontal="right" vertical="center" indent="2"/>
    </xf>
    <xf numFmtId="2" fontId="0" fillId="9" borderId="2" xfId="0" applyNumberFormat="1" applyFill="1" applyBorder="1" applyAlignment="1">
      <alignment horizontal="right" vertical="center" indent="2"/>
    </xf>
    <xf numFmtId="166" fontId="0" fillId="9" borderId="8" xfId="0" applyNumberFormat="1" applyFill="1" applyBorder="1" applyAlignment="1">
      <alignment horizontal="right" vertical="center" indent="2"/>
    </xf>
    <xf numFmtId="2" fontId="0" fillId="9" borderId="8" xfId="0" applyNumberFormat="1" applyFill="1" applyBorder="1" applyAlignment="1">
      <alignment horizontal="right" vertical="center" indent="2"/>
    </xf>
    <xf numFmtId="4" fontId="0" fillId="0" borderId="0" xfId="0" applyNumberFormat="1"/>
    <xf numFmtId="169" fontId="0" fillId="0" borderId="0" xfId="0" applyNumberFormat="1"/>
    <xf numFmtId="0" fontId="10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vertical="center" wrapText="1"/>
    </xf>
    <xf numFmtId="0" fontId="10" fillId="0" borderId="9" xfId="0" applyFont="1" applyBorder="1" applyAlignment="1">
      <alignment horizontal="center" vertical="center" wrapText="1"/>
    </xf>
    <xf numFmtId="4" fontId="0" fillId="0" borderId="38" xfId="0" applyNumberFormat="1" applyBorder="1" applyAlignment="1" applyProtection="1">
      <alignment horizontal="right" vertical="center" indent="1"/>
      <protection locked="0"/>
    </xf>
    <xf numFmtId="4" fontId="0" fillId="0" borderId="39" xfId="0" applyNumberFormat="1" applyBorder="1" applyAlignment="1" applyProtection="1">
      <alignment horizontal="right" vertical="center" indent="1"/>
      <protection locked="0"/>
    </xf>
    <xf numFmtId="4" fontId="0" fillId="0" borderId="18" xfId="0" applyNumberForma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left" vertical="center"/>
    </xf>
    <xf numFmtId="4" fontId="28" fillId="0" borderId="0" xfId="0" applyNumberFormat="1" applyFont="1" applyAlignment="1">
      <alignment horizontal="center" vertical="top" wrapText="1"/>
    </xf>
    <xf numFmtId="0" fontId="12" fillId="0" borderId="0" xfId="0" applyFont="1" applyAlignment="1">
      <alignment horizontal="right"/>
    </xf>
    <xf numFmtId="0" fontId="37" fillId="0" borderId="0" xfId="0" applyFont="1"/>
    <xf numFmtId="4" fontId="18" fillId="15" borderId="0" xfId="0" applyNumberFormat="1" applyFont="1" applyFill="1" applyProtection="1">
      <protection hidden="1"/>
    </xf>
    <xf numFmtId="1" fontId="0" fillId="0" borderId="1" xfId="0" applyNumberFormat="1" applyBorder="1" applyAlignment="1">
      <alignment horizontal="center" vertical="center" wrapText="1"/>
    </xf>
    <xf numFmtId="0" fontId="10" fillId="33" borderId="0" xfId="0" applyFont="1" applyFill="1" applyAlignment="1">
      <alignment horizontal="left" vertical="center"/>
    </xf>
    <xf numFmtId="4" fontId="0" fillId="33" borderId="0" xfId="0" applyNumberFormat="1" applyFill="1" applyAlignment="1">
      <alignment horizontal="left" vertical="center"/>
    </xf>
    <xf numFmtId="0" fontId="10" fillId="33" borderId="0" xfId="0" applyFont="1" applyFill="1" applyAlignment="1">
      <alignment horizontal="left"/>
    </xf>
    <xf numFmtId="0" fontId="0" fillId="33" borderId="0" xfId="0" applyFill="1"/>
    <xf numFmtId="0" fontId="12" fillId="33" borderId="0" xfId="0" applyFont="1" applyFill="1" applyAlignment="1">
      <alignment horizontal="right" vertical="center"/>
    </xf>
    <xf numFmtId="0" fontId="20" fillId="33" borderId="0" xfId="0" applyFont="1" applyFill="1" applyAlignment="1">
      <alignment vertical="center"/>
    </xf>
    <xf numFmtId="4" fontId="18" fillId="33" borderId="0" xfId="0" applyNumberFormat="1" applyFont="1" applyFill="1" applyAlignment="1">
      <alignment horizontal="center" vertical="center"/>
    </xf>
    <xf numFmtId="0" fontId="10" fillId="33" borderId="0" xfId="0" applyFont="1" applyFill="1" applyAlignment="1">
      <alignment horizontal="center" vertical="center"/>
    </xf>
    <xf numFmtId="0" fontId="12" fillId="33" borderId="0" xfId="0" applyFont="1" applyFill="1"/>
    <xf numFmtId="0" fontId="14" fillId="33" borderId="0" xfId="0" applyFont="1" applyFill="1" applyAlignment="1">
      <alignment horizontal="left" vertical="center"/>
    </xf>
    <xf numFmtId="4" fontId="10" fillId="0" borderId="1" xfId="0" applyNumberFormat="1" applyFont="1" applyBorder="1" applyAlignment="1">
      <alignment horizontal="right" vertical="center" wrapText="1" indent="3"/>
    </xf>
    <xf numFmtId="4" fontId="0" fillId="0" borderId="1" xfId="0" applyNumberFormat="1" applyBorder="1" applyAlignment="1">
      <alignment horizontal="right" vertical="center" wrapText="1" indent="3"/>
    </xf>
    <xf numFmtId="4" fontId="0" fillId="0" borderId="1" xfId="0" applyNumberFormat="1" applyBorder="1" applyAlignment="1">
      <alignment horizontal="right" vertical="center" wrapText="1" indent="4"/>
    </xf>
    <xf numFmtId="4" fontId="0" fillId="0" borderId="1" xfId="0" applyNumberFormat="1" applyBorder="1" applyAlignment="1">
      <alignment horizontal="right" vertical="center" wrapText="1" indent="1"/>
    </xf>
    <xf numFmtId="4" fontId="10" fillId="0" borderId="1" xfId="0" applyNumberFormat="1" applyFont="1" applyBorder="1" applyAlignment="1">
      <alignment horizontal="right" vertical="center" wrapText="1" indent="1"/>
    </xf>
    <xf numFmtId="3" fontId="0" fillId="0" borderId="1" xfId="0" applyNumberFormat="1" applyBorder="1" applyAlignment="1">
      <alignment horizontal="right" vertical="center" wrapText="1" indent="4"/>
    </xf>
    <xf numFmtId="3" fontId="0" fillId="0" borderId="1" xfId="0" applyNumberFormat="1" applyBorder="1" applyAlignment="1">
      <alignment horizontal="right" vertical="center" wrapText="1" indent="1"/>
    </xf>
    <xf numFmtId="166" fontId="10" fillId="0" borderId="1" xfId="0" applyNumberFormat="1" applyFont="1" applyBorder="1" applyAlignment="1">
      <alignment horizontal="right" vertical="center" wrapText="1" indent="1"/>
    </xf>
    <xf numFmtId="4" fontId="10" fillId="0" borderId="3" xfId="0" applyNumberFormat="1" applyFont="1" applyBorder="1" applyAlignment="1">
      <alignment horizontal="right" indent="1"/>
    </xf>
    <xf numFmtId="0" fontId="12" fillId="0" borderId="4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4" fontId="12" fillId="0" borderId="1" xfId="0" applyNumberFormat="1" applyFont="1" applyBorder="1" applyAlignment="1">
      <alignment horizontal="center" vertical="center" wrapText="1"/>
    </xf>
    <xf numFmtId="0" fontId="18" fillId="0" borderId="4" xfId="0" applyFont="1" applyBorder="1"/>
    <xf numFmtId="0" fontId="18" fillId="0" borderId="5" xfId="0" applyFont="1" applyBorder="1"/>
    <xf numFmtId="4" fontId="18" fillId="0" borderId="1" xfId="0" applyNumberFormat="1" applyFont="1" applyBorder="1" applyAlignment="1">
      <alignment horizontal="right" indent="1"/>
    </xf>
    <xf numFmtId="0" fontId="12" fillId="0" borderId="4" xfId="0" applyFont="1" applyBorder="1"/>
    <xf numFmtId="0" fontId="12" fillId="0" borderId="5" xfId="0" applyFont="1" applyBorder="1"/>
    <xf numFmtId="4" fontId="12" fillId="0" borderId="1" xfId="0" applyNumberFormat="1" applyFont="1" applyBorder="1" applyAlignment="1">
      <alignment horizontal="right" indent="1"/>
    </xf>
    <xf numFmtId="3" fontId="0" fillId="33" borderId="0" xfId="0" applyNumberFormat="1" applyFill="1" applyProtection="1">
      <protection hidden="1"/>
    </xf>
    <xf numFmtId="3" fontId="0" fillId="33" borderId="0" xfId="0" applyNumberFormat="1" applyFill="1" applyAlignment="1" applyProtection="1">
      <alignment horizontal="center"/>
      <protection hidden="1"/>
    </xf>
    <xf numFmtId="0" fontId="0" fillId="33" borderId="0" xfId="0" applyFill="1" applyAlignment="1" applyProtection="1">
      <alignment horizontal="center"/>
      <protection hidden="1"/>
    </xf>
    <xf numFmtId="0" fontId="9" fillId="33" borderId="0" xfId="0" applyFont="1" applyFill="1" applyAlignment="1">
      <alignment vertical="center"/>
    </xf>
    <xf numFmtId="0" fontId="11" fillId="33" borderId="0" xfId="0" applyFont="1" applyFill="1" applyAlignment="1">
      <alignment vertical="center"/>
    </xf>
    <xf numFmtId="0" fontId="10" fillId="33" borderId="7" xfId="0" applyFont="1" applyFill="1" applyBorder="1" applyAlignment="1">
      <alignment vertical="top"/>
    </xf>
    <xf numFmtId="0" fontId="10" fillId="33" borderId="0" xfId="0" applyFont="1" applyFill="1" applyAlignment="1">
      <alignment vertical="top"/>
    </xf>
    <xf numFmtId="0" fontId="0" fillId="33" borderId="0" xfId="0" applyFill="1" applyAlignment="1">
      <alignment vertical="center"/>
    </xf>
    <xf numFmtId="4" fontId="0" fillId="33" borderId="43" xfId="0" applyNumberFormat="1" applyFill="1" applyBorder="1" applyAlignment="1">
      <alignment horizontal="left" vertical="center"/>
    </xf>
    <xf numFmtId="0" fontId="10" fillId="33" borderId="20" xfId="0" applyFont="1" applyFill="1" applyBorder="1" applyAlignment="1">
      <alignment horizontal="left"/>
    </xf>
    <xf numFmtId="0" fontId="0" fillId="33" borderId="20" xfId="0" applyFill="1" applyBorder="1" applyAlignment="1">
      <alignment vertical="center"/>
    </xf>
    <xf numFmtId="0" fontId="20" fillId="33" borderId="20" xfId="0" applyFont="1" applyFill="1" applyBorder="1" applyAlignment="1">
      <alignment vertical="center"/>
    </xf>
    <xf numFmtId="0" fontId="11" fillId="33" borderId="20" xfId="0" applyFont="1" applyFill="1" applyBorder="1" applyAlignment="1">
      <alignment vertical="center"/>
    </xf>
    <xf numFmtId="0" fontId="18" fillId="10" borderId="44" xfId="0" applyFont="1" applyFill="1" applyBorder="1" applyAlignment="1">
      <alignment horizontal="right"/>
    </xf>
    <xf numFmtId="4" fontId="18" fillId="10" borderId="45" xfId="0" applyNumberFormat="1" applyFont="1" applyFill="1" applyBorder="1"/>
    <xf numFmtId="0" fontId="18" fillId="10" borderId="45" xfId="0" applyFont="1" applyFill="1" applyBorder="1"/>
    <xf numFmtId="0" fontId="0" fillId="10" borderId="45" xfId="0" applyFill="1" applyBorder="1"/>
    <xf numFmtId="0" fontId="0" fillId="10" borderId="45" xfId="0" applyFill="1" applyBorder="1" applyAlignment="1">
      <alignment vertical="top"/>
    </xf>
    <xf numFmtId="0" fontId="10" fillId="10" borderId="45" xfId="0" applyFont="1" applyFill="1" applyBorder="1" applyAlignment="1">
      <alignment vertical="top"/>
    </xf>
    <xf numFmtId="0" fontId="10" fillId="10" borderId="46" xfId="0" applyFont="1" applyFill="1" applyBorder="1" applyAlignment="1">
      <alignment vertical="top"/>
    </xf>
    <xf numFmtId="0" fontId="0" fillId="33" borderId="0" xfId="0" applyFill="1" applyProtection="1">
      <protection hidden="1"/>
    </xf>
    <xf numFmtId="0" fontId="7" fillId="0" borderId="18" xfId="0" applyFont="1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right" indent="1"/>
      <protection locked="0"/>
    </xf>
    <xf numFmtId="4" fontId="0" fillId="0" borderId="21" xfId="0" applyNumberFormat="1" applyBorder="1" applyAlignment="1" applyProtection="1">
      <alignment horizontal="right" indent="1"/>
      <protection locked="0"/>
    </xf>
    <xf numFmtId="49" fontId="0" fillId="0" borderId="21" xfId="0" applyNumberFormat="1" applyBorder="1" applyAlignment="1" applyProtection="1">
      <alignment horizontal="center"/>
      <protection locked="0"/>
    </xf>
    <xf numFmtId="0" fontId="0" fillId="0" borderId="21" xfId="0" applyBorder="1" applyAlignment="1" applyProtection="1">
      <alignment horizontal="left"/>
      <protection locked="0"/>
    </xf>
    <xf numFmtId="0" fontId="10" fillId="0" borderId="6" xfId="0" applyFont="1" applyBorder="1"/>
    <xf numFmtId="0" fontId="10" fillId="0" borderId="7" xfId="0" applyFont="1" applyBorder="1"/>
    <xf numFmtId="0" fontId="10" fillId="33" borderId="47" xfId="0" applyFont="1" applyFill="1" applyBorder="1" applyAlignment="1">
      <alignment horizontal="left" vertical="center"/>
    </xf>
    <xf numFmtId="0" fontId="60" fillId="14" borderId="0" xfId="0" applyFont="1" applyFill="1" applyAlignment="1" applyProtection="1">
      <alignment vertical="top" wrapText="1"/>
      <protection hidden="1"/>
    </xf>
    <xf numFmtId="0" fontId="7" fillId="34" borderId="21" xfId="0" applyFont="1" applyFill="1" applyBorder="1" applyAlignment="1">
      <alignment horizontal="center" vertical="center"/>
    </xf>
    <xf numFmtId="0" fontId="23" fillId="13" borderId="21" xfId="0" applyFont="1" applyFill="1" applyBorder="1" applyAlignment="1">
      <alignment horizontal="center" vertical="center"/>
    </xf>
    <xf numFmtId="0" fontId="23" fillId="24" borderId="21" xfId="0" applyFont="1" applyFill="1" applyBorder="1" applyAlignment="1">
      <alignment horizontal="center" vertical="center"/>
    </xf>
    <xf numFmtId="0" fontId="10" fillId="24" borderId="21" xfId="0" applyFont="1" applyFill="1" applyBorder="1" applyAlignment="1">
      <alignment horizontal="center" vertical="center"/>
    </xf>
    <xf numFmtId="0" fontId="10" fillId="13" borderId="21" xfId="0" applyFont="1" applyFill="1" applyBorder="1" applyAlignment="1">
      <alignment horizontal="center" vertical="center"/>
    </xf>
    <xf numFmtId="0" fontId="18" fillId="10" borderId="20" xfId="0" applyFont="1" applyFill="1" applyBorder="1"/>
    <xf numFmtId="0" fontId="23" fillId="12" borderId="1" xfId="0" applyFont="1" applyFill="1" applyBorder="1" applyAlignment="1">
      <alignment horizontal="center" vertical="center"/>
    </xf>
    <xf numFmtId="0" fontId="32" fillId="13" borderId="1" xfId="0" applyFont="1" applyFill="1" applyBorder="1" applyAlignment="1">
      <alignment horizontal="center" vertical="center" wrapText="1"/>
    </xf>
    <xf numFmtId="0" fontId="32" fillId="13" borderId="21" xfId="0" applyFont="1" applyFill="1" applyBorder="1" applyAlignment="1">
      <alignment horizontal="center" vertical="center" wrapText="1"/>
    </xf>
    <xf numFmtId="0" fontId="7" fillId="34" borderId="46" xfId="0" applyFont="1" applyFill="1" applyBorder="1" applyAlignment="1">
      <alignment horizontal="center" vertical="center"/>
    </xf>
    <xf numFmtId="0" fontId="7" fillId="0" borderId="68" xfId="0" applyFont="1" applyBorder="1" applyAlignment="1" applyProtection="1">
      <alignment horizontal="center" vertical="center"/>
      <protection locked="0"/>
    </xf>
    <xf numFmtId="2" fontId="0" fillId="31" borderId="1" xfId="0" applyNumberFormat="1" applyFill="1" applyBorder="1" applyAlignment="1">
      <alignment horizontal="right" vertical="center" indent="2"/>
    </xf>
    <xf numFmtId="164" fontId="10" fillId="0" borderId="0" xfId="0" applyNumberFormat="1" applyFont="1" applyAlignment="1" applyProtection="1">
      <alignment horizontal="right" indent="1"/>
      <protection hidden="1"/>
    </xf>
    <xf numFmtId="168" fontId="0" fillId="4" borderId="1" xfId="0" applyNumberFormat="1" applyFill="1" applyBorder="1" applyAlignment="1" applyProtection="1">
      <alignment horizontal="right" indent="1"/>
      <protection hidden="1"/>
    </xf>
    <xf numFmtId="171" fontId="20" fillId="0" borderId="0" xfId="0" applyNumberFormat="1" applyFont="1" applyProtection="1">
      <protection hidden="1"/>
    </xf>
    <xf numFmtId="168" fontId="10" fillId="4" borderId="1" xfId="0" applyNumberFormat="1" applyFont="1" applyFill="1" applyBorder="1" applyAlignment="1" applyProtection="1">
      <alignment horizontal="right" indent="1"/>
      <protection hidden="1"/>
    </xf>
    <xf numFmtId="168" fontId="0" fillId="4" borderId="1" xfId="0" applyNumberFormat="1" applyFill="1" applyBorder="1" applyAlignment="1">
      <alignment horizontal="right" indent="1"/>
    </xf>
    <xf numFmtId="168" fontId="10" fillId="9" borderId="1" xfId="0" applyNumberFormat="1" applyFont="1" applyFill="1" applyBorder="1" applyAlignment="1">
      <alignment horizontal="right" indent="1"/>
    </xf>
    <xf numFmtId="172" fontId="0" fillId="4" borderId="1" xfId="0" applyNumberFormat="1" applyFill="1" applyBorder="1" applyAlignment="1">
      <alignment horizontal="right" indent="1"/>
    </xf>
    <xf numFmtId="172" fontId="10" fillId="4" borderId="1" xfId="0" applyNumberFormat="1" applyFont="1" applyFill="1" applyBorder="1" applyAlignment="1">
      <alignment horizontal="right" indent="1"/>
    </xf>
    <xf numFmtId="4" fontId="10" fillId="0" borderId="18" xfId="0" applyNumberFormat="1" applyFont="1" applyBorder="1" applyAlignment="1" applyProtection="1">
      <alignment horizontal="right" vertical="center" indent="2"/>
      <protection locked="0"/>
    </xf>
    <xf numFmtId="0" fontId="18" fillId="0" borderId="0" xfId="0" applyFont="1" applyAlignment="1">
      <alignment vertical="top" wrapText="1"/>
    </xf>
    <xf numFmtId="0" fontId="27" fillId="0" borderId="0" xfId="0" applyFont="1" applyAlignment="1">
      <alignment horizontal="center" vertical="top" wrapText="1"/>
    </xf>
    <xf numFmtId="4" fontId="0" fillId="0" borderId="72" xfId="0" applyNumberForma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right"/>
    </xf>
    <xf numFmtId="2" fontId="0" fillId="7" borderId="9" xfId="0" applyNumberFormat="1" applyFill="1" applyBorder="1" applyAlignment="1">
      <alignment horizontal="right" vertical="center" indent="2"/>
    </xf>
    <xf numFmtId="2" fontId="0" fillId="7" borderId="21" xfId="0" applyNumberFormat="1" applyFill="1" applyBorder="1" applyAlignment="1">
      <alignment horizontal="right" vertical="center" indent="2"/>
    </xf>
    <xf numFmtId="2" fontId="0" fillId="7" borderId="3" xfId="0" applyNumberFormat="1" applyFill="1" applyBorder="1" applyAlignment="1">
      <alignment horizontal="right" vertical="center" indent="2"/>
    </xf>
    <xf numFmtId="0" fontId="15" fillId="13" borderId="4" xfId="0" applyFont="1" applyFill="1" applyBorder="1" applyAlignment="1" applyProtection="1">
      <alignment horizontal="left"/>
      <protection hidden="1"/>
    </xf>
    <xf numFmtId="0" fontId="24" fillId="13" borderId="4" xfId="0" applyFont="1" applyFill="1" applyBorder="1" applyAlignment="1" applyProtection="1">
      <alignment horizontal="left"/>
      <protection hidden="1"/>
    </xf>
    <xf numFmtId="0" fontId="15" fillId="0" borderId="4" xfId="0" applyFont="1" applyBorder="1" applyAlignment="1" applyProtection="1">
      <alignment horizontal="left"/>
      <protection locked="0"/>
    </xf>
    <xf numFmtId="0" fontId="0" fillId="0" borderId="4" xfId="0" applyBorder="1" applyProtection="1">
      <protection locked="0"/>
    </xf>
    <xf numFmtId="0" fontId="32" fillId="13" borderId="73" xfId="0" applyFont="1" applyFill="1" applyBorder="1" applyAlignment="1">
      <alignment horizontal="center" vertical="center" wrapText="1"/>
    </xf>
    <xf numFmtId="0" fontId="16" fillId="3" borderId="77" xfId="0" applyFont="1" applyFill="1" applyBorder="1" applyAlignment="1" applyProtection="1">
      <alignment horizontal="center" vertical="center"/>
      <protection hidden="1"/>
    </xf>
    <xf numFmtId="0" fontId="0" fillId="15" borderId="79" xfId="0" applyFill="1" applyBorder="1" applyAlignment="1" applyProtection="1">
      <alignment horizontal="center" vertical="center" wrapText="1"/>
      <protection hidden="1"/>
    </xf>
    <xf numFmtId="0" fontId="16" fillId="5" borderId="80" xfId="0" applyFont="1" applyFill="1" applyBorder="1" applyAlignment="1" applyProtection="1">
      <alignment horizontal="left"/>
      <protection hidden="1"/>
    </xf>
    <xf numFmtId="0" fontId="16" fillId="5" borderId="77" xfId="0" applyFont="1" applyFill="1" applyBorder="1" applyAlignment="1" applyProtection="1">
      <alignment horizontal="left"/>
      <protection hidden="1"/>
    </xf>
    <xf numFmtId="168" fontId="15" fillId="0" borderId="80" xfId="0" applyNumberFormat="1" applyFont="1" applyBorder="1" applyAlignment="1" applyProtection="1">
      <alignment horizontal="right" indent="2"/>
      <protection locked="0"/>
    </xf>
    <xf numFmtId="165" fontId="15" fillId="3" borderId="77" xfId="0" applyNumberFormat="1" applyFont="1" applyFill="1" applyBorder="1" applyAlignment="1" applyProtection="1">
      <alignment horizontal="right" indent="1"/>
      <protection hidden="1"/>
    </xf>
    <xf numFmtId="168" fontId="15" fillId="13" borderId="80" xfId="0" applyNumberFormat="1" applyFont="1" applyFill="1" applyBorder="1" applyAlignment="1" applyProtection="1">
      <alignment horizontal="right" indent="2"/>
      <protection hidden="1"/>
    </xf>
    <xf numFmtId="165" fontId="0" fillId="13" borderId="77" xfId="0" applyNumberFormat="1" applyFill="1" applyBorder="1" applyAlignment="1" applyProtection="1">
      <alignment horizontal="right" indent="1"/>
      <protection hidden="1"/>
    </xf>
    <xf numFmtId="165" fontId="15" fillId="0" borderId="77" xfId="0" applyNumberFormat="1" applyFont="1" applyBorder="1" applyAlignment="1" applyProtection="1">
      <alignment horizontal="right" indent="1"/>
      <protection locked="0"/>
    </xf>
    <xf numFmtId="168" fontId="16" fillId="5" borderId="80" xfId="0" applyNumberFormat="1" applyFont="1" applyFill="1" applyBorder="1" applyAlignment="1" applyProtection="1">
      <alignment horizontal="right" indent="2"/>
      <protection hidden="1"/>
    </xf>
    <xf numFmtId="0" fontId="16" fillId="5" borderId="77" xfId="0" applyFont="1" applyFill="1" applyBorder="1" applyAlignment="1" applyProtection="1">
      <alignment horizontal="right" indent="1"/>
      <protection hidden="1"/>
    </xf>
    <xf numFmtId="165" fontId="16" fillId="5" borderId="77" xfId="0" applyNumberFormat="1" applyFont="1" applyFill="1" applyBorder="1" applyAlignment="1" applyProtection="1">
      <alignment horizontal="right" indent="1"/>
      <protection hidden="1"/>
    </xf>
    <xf numFmtId="168" fontId="15" fillId="0" borderId="81" xfId="0" applyNumberFormat="1" applyFont="1" applyBorder="1" applyAlignment="1" applyProtection="1">
      <alignment horizontal="right" indent="2"/>
      <protection locked="0"/>
    </xf>
    <xf numFmtId="165" fontId="15" fillId="0" borderId="82" xfId="0" applyNumberFormat="1" applyFont="1" applyBorder="1" applyAlignment="1" applyProtection="1">
      <alignment horizontal="right" indent="1"/>
      <protection locked="0"/>
    </xf>
    <xf numFmtId="165" fontId="15" fillId="0" borderId="83" xfId="0" applyNumberFormat="1" applyFont="1" applyBorder="1" applyAlignment="1" applyProtection="1">
      <alignment horizontal="right" indent="1"/>
      <protection locked="0"/>
    </xf>
    <xf numFmtId="0" fontId="10" fillId="4" borderId="2" xfId="0" applyFont="1" applyFill="1" applyBorder="1" applyAlignment="1" applyProtection="1">
      <alignment horizontal="center" vertical="center" wrapText="1"/>
      <protection hidden="1"/>
    </xf>
    <xf numFmtId="0" fontId="16" fillId="4" borderId="2" xfId="0" applyFont="1" applyFill="1" applyBorder="1" applyAlignment="1" applyProtection="1">
      <alignment horizontal="center" vertical="center"/>
      <protection hidden="1"/>
    </xf>
    <xf numFmtId="0" fontId="16" fillId="5" borderId="2" xfId="0" applyFont="1" applyFill="1" applyBorder="1" applyAlignment="1" applyProtection="1">
      <alignment horizontal="left"/>
      <protection hidden="1"/>
    </xf>
    <xf numFmtId="168" fontId="0" fillId="4" borderId="2" xfId="0" applyNumberFormat="1" applyFill="1" applyBorder="1" applyAlignment="1" applyProtection="1">
      <alignment horizontal="right" indent="1"/>
      <protection hidden="1"/>
    </xf>
    <xf numFmtId="165" fontId="0" fillId="13" borderId="2" xfId="0" applyNumberFormat="1" applyFill="1" applyBorder="1" applyAlignment="1" applyProtection="1">
      <alignment horizontal="right" indent="1"/>
      <protection hidden="1"/>
    </xf>
    <xf numFmtId="0" fontId="16" fillId="5" borderId="2" xfId="0" applyFont="1" applyFill="1" applyBorder="1" applyAlignment="1" applyProtection="1">
      <alignment horizontal="right" indent="1"/>
      <protection hidden="1"/>
    </xf>
    <xf numFmtId="0" fontId="32" fillId="24" borderId="73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 applyProtection="1">
      <alignment horizontal="center" vertical="center"/>
      <protection hidden="1"/>
    </xf>
    <xf numFmtId="0" fontId="10" fillId="3" borderId="77" xfId="0" applyFont="1" applyFill="1" applyBorder="1" applyAlignment="1" applyProtection="1">
      <alignment horizontal="center" vertical="center"/>
      <protection hidden="1"/>
    </xf>
    <xf numFmtId="0" fontId="10" fillId="5" borderId="80" xfId="0" applyFont="1" applyFill="1" applyBorder="1" applyAlignment="1" applyProtection="1">
      <alignment horizontal="left"/>
      <protection hidden="1"/>
    </xf>
    <xf numFmtId="0" fontId="10" fillId="5" borderId="1" xfId="0" applyFont="1" applyFill="1" applyBorder="1" applyAlignment="1" applyProtection="1">
      <alignment horizontal="left"/>
      <protection hidden="1"/>
    </xf>
    <xf numFmtId="0" fontId="10" fillId="5" borderId="77" xfId="0" applyFont="1" applyFill="1" applyBorder="1" applyAlignment="1" applyProtection="1">
      <alignment horizontal="left"/>
      <protection hidden="1"/>
    </xf>
    <xf numFmtId="168" fontId="0" fillId="0" borderId="80" xfId="0" applyNumberFormat="1" applyBorder="1" applyAlignment="1" applyProtection="1">
      <alignment horizontal="right" indent="2"/>
      <protection locked="0"/>
    </xf>
    <xf numFmtId="165" fontId="0" fillId="3" borderId="1" xfId="0" applyNumberFormat="1" applyFill="1" applyBorder="1" applyAlignment="1" applyProtection="1">
      <alignment horizontal="right" indent="1"/>
      <protection hidden="1"/>
    </xf>
    <xf numFmtId="165" fontId="0" fillId="3" borderId="77" xfId="0" applyNumberFormat="1" applyFill="1" applyBorder="1" applyAlignment="1" applyProtection="1">
      <alignment horizontal="right" indent="1"/>
      <protection hidden="1"/>
    </xf>
    <xf numFmtId="168" fontId="0" fillId="13" borderId="80" xfId="0" applyNumberFormat="1" applyFill="1" applyBorder="1" applyAlignment="1" applyProtection="1">
      <alignment horizontal="right" indent="2"/>
      <protection hidden="1"/>
    </xf>
    <xf numFmtId="165" fontId="0" fillId="0" borderId="1" xfId="0" applyNumberFormat="1" applyBorder="1" applyAlignment="1" applyProtection="1">
      <alignment horizontal="right" indent="1"/>
      <protection locked="0"/>
    </xf>
    <xf numFmtId="165" fontId="0" fillId="0" borderId="77" xfId="0" applyNumberFormat="1" applyBorder="1" applyAlignment="1" applyProtection="1">
      <alignment horizontal="right" indent="1"/>
      <protection locked="0"/>
    </xf>
    <xf numFmtId="168" fontId="10" fillId="5" borderId="80" xfId="0" applyNumberFormat="1" applyFont="1" applyFill="1" applyBorder="1" applyAlignment="1" applyProtection="1">
      <alignment horizontal="right" indent="2"/>
      <protection hidden="1"/>
    </xf>
    <xf numFmtId="0" fontId="10" fillId="5" borderId="1" xfId="0" applyFont="1" applyFill="1" applyBorder="1" applyAlignment="1" applyProtection="1">
      <alignment horizontal="right" indent="1"/>
      <protection hidden="1"/>
    </xf>
    <xf numFmtId="0" fontId="10" fillId="5" borderId="77" xfId="0" applyFont="1" applyFill="1" applyBorder="1" applyAlignment="1" applyProtection="1">
      <alignment horizontal="right" indent="1"/>
      <protection hidden="1"/>
    </xf>
    <xf numFmtId="165" fontId="10" fillId="5" borderId="1" xfId="0" applyNumberFormat="1" applyFont="1" applyFill="1" applyBorder="1" applyAlignment="1" applyProtection="1">
      <alignment horizontal="right" indent="1"/>
      <protection hidden="1"/>
    </xf>
    <xf numFmtId="165" fontId="10" fillId="5" borderId="77" xfId="0" applyNumberFormat="1" applyFont="1" applyFill="1" applyBorder="1" applyAlignment="1" applyProtection="1">
      <alignment horizontal="right" indent="1"/>
      <protection hidden="1"/>
    </xf>
    <xf numFmtId="168" fontId="0" fillId="0" borderId="81" xfId="0" applyNumberFormat="1" applyBorder="1" applyAlignment="1" applyProtection="1">
      <alignment horizontal="right" indent="2"/>
      <protection locked="0"/>
    </xf>
    <xf numFmtId="165" fontId="0" fillId="0" borderId="82" xfId="0" applyNumberFormat="1" applyBorder="1" applyAlignment="1" applyProtection="1">
      <alignment horizontal="right" indent="1"/>
      <protection locked="0"/>
    </xf>
    <xf numFmtId="165" fontId="0" fillId="0" borderId="83" xfId="0" applyNumberFormat="1" applyBorder="1" applyAlignment="1" applyProtection="1">
      <alignment horizontal="right" indent="1"/>
      <protection locked="0"/>
    </xf>
    <xf numFmtId="4" fontId="0" fillId="0" borderId="0" xfId="0" applyNumberFormat="1" applyAlignment="1" applyProtection="1">
      <alignment horizontal="right" indent="2"/>
      <protection hidden="1"/>
    </xf>
    <xf numFmtId="0" fontId="10" fillId="0" borderId="0" xfId="0" applyFont="1" applyAlignment="1" applyProtection="1">
      <alignment horizontal="center" vertical="center"/>
      <protection hidden="1"/>
    </xf>
    <xf numFmtId="0" fontId="86" fillId="0" borderId="0" xfId="0" applyFont="1" applyProtection="1">
      <protection hidden="1"/>
    </xf>
    <xf numFmtId="0" fontId="10" fillId="4" borderId="1" xfId="0" applyFont="1" applyFill="1" applyBorder="1" applyAlignment="1" applyProtection="1">
      <alignment horizontal="center" vertical="center"/>
      <protection hidden="1"/>
    </xf>
    <xf numFmtId="0" fontId="10" fillId="15" borderId="4" xfId="0" applyFont="1" applyFill="1" applyBorder="1"/>
    <xf numFmtId="0" fontId="32" fillId="13" borderId="84" xfId="0" applyFont="1" applyFill="1" applyBorder="1" applyAlignment="1">
      <alignment horizontal="center" vertical="center" wrapText="1"/>
    </xf>
    <xf numFmtId="0" fontId="0" fillId="15" borderId="86" xfId="0" applyFill="1" applyBorder="1" applyAlignment="1">
      <alignment horizontal="center" vertical="center" wrapText="1"/>
    </xf>
    <xf numFmtId="168" fontId="0" fillId="0" borderId="86" xfId="0" applyNumberFormat="1" applyBorder="1" applyAlignment="1" applyProtection="1">
      <alignment horizontal="right" indent="3"/>
      <protection locked="0"/>
    </xf>
    <xf numFmtId="168" fontId="0" fillId="0" borderId="87" xfId="0" applyNumberFormat="1" applyBorder="1" applyAlignment="1" applyProtection="1">
      <alignment horizontal="right" indent="3"/>
      <protection locked="0"/>
    </xf>
    <xf numFmtId="0" fontId="32" fillId="24" borderId="88" xfId="0" applyFont="1" applyFill="1" applyBorder="1" applyAlignment="1">
      <alignment horizontal="center" vertical="center" wrapText="1"/>
    </xf>
    <xf numFmtId="0" fontId="32" fillId="24" borderId="1" xfId="0" applyFont="1" applyFill="1" applyBorder="1" applyAlignment="1">
      <alignment horizontal="center" vertical="center" wrapText="1"/>
    </xf>
    <xf numFmtId="0" fontId="15" fillId="17" borderId="4" xfId="0" applyFont="1" applyFill="1" applyBorder="1" applyAlignment="1">
      <alignment horizontal="left"/>
    </xf>
    <xf numFmtId="0" fontId="16" fillId="17" borderId="4" xfId="0" applyFont="1" applyFill="1" applyBorder="1" applyAlignment="1">
      <alignment horizontal="left"/>
    </xf>
    <xf numFmtId="0" fontId="15" fillId="12" borderId="4" xfId="0" applyFont="1" applyFill="1" applyBorder="1" applyAlignment="1">
      <alignment horizontal="left"/>
    </xf>
    <xf numFmtId="0" fontId="16" fillId="12" borderId="4" xfId="0" applyFont="1" applyFill="1" applyBorder="1" applyAlignment="1">
      <alignment horizontal="left"/>
    </xf>
    <xf numFmtId="0" fontId="15" fillId="20" borderId="4" xfId="0" applyFont="1" applyFill="1" applyBorder="1" applyAlignment="1">
      <alignment horizontal="left"/>
    </xf>
    <xf numFmtId="0" fontId="15" fillId="10" borderId="4" xfId="0" applyFont="1" applyFill="1" applyBorder="1" applyAlignment="1">
      <alignment horizontal="left"/>
    </xf>
    <xf numFmtId="0" fontId="16" fillId="9" borderId="4" xfId="0" applyFont="1" applyFill="1" applyBorder="1" applyAlignment="1">
      <alignment horizontal="left"/>
    </xf>
    <xf numFmtId="0" fontId="15" fillId="10" borderId="4" xfId="0" applyFont="1" applyFill="1" applyBorder="1" applyAlignment="1" applyProtection="1">
      <alignment horizontal="left"/>
      <protection hidden="1"/>
    </xf>
    <xf numFmtId="0" fontId="15" fillId="6" borderId="4" xfId="0" applyFont="1" applyFill="1" applyBorder="1" applyAlignment="1">
      <alignment horizontal="left"/>
    </xf>
    <xf numFmtId="0" fontId="0" fillId="2" borderId="4" xfId="0" applyFill="1" applyBorder="1" applyAlignment="1" applyProtection="1">
      <alignment horizontal="left"/>
      <protection locked="0"/>
    </xf>
    <xf numFmtId="0" fontId="15" fillId="2" borderId="4" xfId="0" applyFont="1" applyFill="1" applyBorder="1" applyAlignment="1" applyProtection="1">
      <alignment horizontal="left"/>
      <protection locked="0"/>
    </xf>
    <xf numFmtId="0" fontId="16" fillId="10" borderId="79" xfId="0" applyFont="1" applyFill="1" applyBorder="1" applyAlignment="1">
      <alignment horizontal="center" vertical="center" wrapText="1"/>
    </xf>
    <xf numFmtId="4" fontId="0" fillId="0" borderId="79" xfId="0" applyNumberFormat="1" applyBorder="1" applyAlignment="1" applyProtection="1">
      <alignment horizontal="right" indent="3"/>
      <protection locked="0"/>
    </xf>
    <xf numFmtId="4" fontId="10" fillId="9" borderId="79" xfId="0" applyNumberFormat="1" applyFont="1" applyFill="1" applyBorder="1" applyAlignment="1">
      <alignment horizontal="right" indent="3"/>
    </xf>
    <xf numFmtId="4" fontId="10" fillId="9" borderId="90" xfId="0" applyNumberFormat="1" applyFont="1" applyFill="1" applyBorder="1" applyAlignment="1">
      <alignment horizontal="right" indent="3"/>
    </xf>
    <xf numFmtId="0" fontId="16" fillId="3" borderId="14" xfId="0" applyFont="1" applyFill="1" applyBorder="1" applyAlignment="1">
      <alignment horizontal="center" vertical="center"/>
    </xf>
    <xf numFmtId="166" fontId="15" fillId="3" borderId="2" xfId="0" applyNumberFormat="1" applyFont="1" applyFill="1" applyBorder="1" applyAlignment="1">
      <alignment horizontal="right" indent="1"/>
    </xf>
    <xf numFmtId="166" fontId="15" fillId="19" borderId="2" xfId="0" applyNumberFormat="1" applyFont="1" applyFill="1" applyBorder="1" applyAlignment="1">
      <alignment horizontal="right" indent="1"/>
    </xf>
    <xf numFmtId="165" fontId="16" fillId="9" borderId="5" xfId="0" applyNumberFormat="1" applyFont="1" applyFill="1" applyBorder="1" applyAlignment="1">
      <alignment horizontal="right" indent="1"/>
    </xf>
    <xf numFmtId="166" fontId="7" fillId="18" borderId="2" xfId="0" applyNumberFormat="1" applyFont="1" applyFill="1" applyBorder="1" applyAlignment="1">
      <alignment horizontal="right" indent="1"/>
    </xf>
    <xf numFmtId="165" fontId="15" fillId="19" borderId="2" xfId="0" applyNumberFormat="1" applyFont="1" applyFill="1" applyBorder="1" applyAlignment="1">
      <alignment horizontal="right" indent="1"/>
    </xf>
    <xf numFmtId="165" fontId="16" fillId="9" borderId="5" xfId="0" applyNumberFormat="1" applyFont="1" applyFill="1" applyBorder="1" applyAlignment="1">
      <alignment horizontal="center"/>
    </xf>
    <xf numFmtId="0" fontId="10" fillId="10" borderId="79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left"/>
    </xf>
    <xf numFmtId="165" fontId="16" fillId="0" borderId="0" xfId="0" applyNumberFormat="1" applyFont="1" applyAlignment="1">
      <alignment horizontal="center"/>
    </xf>
    <xf numFmtId="165" fontId="15" fillId="0" borderId="0" xfId="0" applyNumberFormat="1" applyFont="1" applyAlignment="1">
      <alignment horizontal="center"/>
    </xf>
    <xf numFmtId="168" fontId="10" fillId="0" borderId="0" xfId="0" applyNumberFormat="1" applyFont="1" applyAlignment="1">
      <alignment horizontal="right" indent="1"/>
    </xf>
    <xf numFmtId="4" fontId="10" fillId="0" borderId="0" xfId="0" applyNumberFormat="1" applyFont="1" applyAlignment="1">
      <alignment horizontal="right" indent="3"/>
    </xf>
    <xf numFmtId="0" fontId="10" fillId="9" borderId="3" xfId="0" applyFont="1" applyFill="1" applyBorder="1" applyAlignment="1">
      <alignment horizontal="center" vertical="center"/>
    </xf>
    <xf numFmtId="0" fontId="54" fillId="0" borderId="0" xfId="0" applyFont="1" applyAlignment="1">
      <alignment horizontal="left"/>
    </xf>
    <xf numFmtId="0" fontId="38" fillId="0" borderId="0" xfId="0" applyFont="1" applyAlignment="1">
      <alignment horizontal="center" vertical="center"/>
    </xf>
    <xf numFmtId="0" fontId="39" fillId="33" borderId="1" xfId="0" applyFont="1" applyFill="1" applyBorder="1" applyAlignment="1">
      <alignment horizontal="left" vertical="center" indent="5"/>
    </xf>
    <xf numFmtId="1" fontId="43" fillId="34" borderId="1" xfId="0" applyNumberFormat="1" applyFont="1" applyFill="1" applyBorder="1" applyAlignment="1">
      <alignment horizontal="right" vertical="center" indent="10"/>
    </xf>
    <xf numFmtId="0" fontId="34" fillId="2" borderId="0" xfId="0" applyFont="1" applyFill="1" applyAlignment="1">
      <alignment horizontal="left" vertical="center"/>
    </xf>
    <xf numFmtId="0" fontId="38" fillId="2" borderId="0" xfId="0" applyFont="1" applyFill="1" applyAlignment="1">
      <alignment horizontal="left" vertical="center"/>
    </xf>
    <xf numFmtId="0" fontId="40" fillId="0" borderId="0" xfId="0" applyFont="1"/>
    <xf numFmtId="166" fontId="23" fillId="12" borderId="1" xfId="0" applyNumberFormat="1" applyFont="1" applyFill="1" applyBorder="1" applyAlignment="1">
      <alignment horizontal="right" vertical="center" indent="3"/>
    </xf>
    <xf numFmtId="0" fontId="41" fillId="2" borderId="0" xfId="0" applyFont="1" applyFill="1" applyAlignment="1">
      <alignment horizontal="center" vertical="center" wrapText="1"/>
    </xf>
    <xf numFmtId="0" fontId="23" fillId="33" borderId="1" xfId="0" applyFont="1" applyFill="1" applyBorder="1" applyAlignment="1">
      <alignment horizontal="left" vertical="center"/>
    </xf>
    <xf numFmtId="0" fontId="0" fillId="2" borderId="0" xfId="0" applyFill="1" applyAlignment="1">
      <alignment vertical="center"/>
    </xf>
    <xf numFmtId="3" fontId="0" fillId="2" borderId="0" xfId="0" applyNumberFormat="1" applyFill="1" applyAlignment="1">
      <alignment vertical="center"/>
    </xf>
    <xf numFmtId="166" fontId="23" fillId="17" borderId="1" xfId="0" applyNumberFormat="1" applyFont="1" applyFill="1" applyBorder="1" applyAlignment="1">
      <alignment horizontal="right" vertical="center" indent="3"/>
    </xf>
    <xf numFmtId="166" fontId="41" fillId="2" borderId="0" xfId="0" applyNumberFormat="1" applyFont="1" applyFill="1" applyAlignment="1">
      <alignment horizontal="center" vertical="center"/>
    </xf>
    <xf numFmtId="0" fontId="61" fillId="0" borderId="5" xfId="0" applyFont="1" applyBorder="1"/>
    <xf numFmtId="0" fontId="83" fillId="0" borderId="0" xfId="0" applyFont="1" applyAlignment="1">
      <alignment horizontal="left" vertical="center"/>
    </xf>
    <xf numFmtId="0" fontId="44" fillId="0" borderId="0" xfId="0" applyFont="1" applyAlignment="1">
      <alignment horizontal="center" vertical="center"/>
    </xf>
    <xf numFmtId="0" fontId="0" fillId="2" borderId="0" xfId="0" applyFill="1"/>
    <xf numFmtId="0" fontId="0" fillId="0" borderId="0" xfId="0" applyAlignment="1">
      <alignment horizontal="right" indent="3"/>
    </xf>
    <xf numFmtId="0" fontId="23" fillId="6" borderId="1" xfId="0" applyFont="1" applyFill="1" applyBorder="1" applyAlignment="1">
      <alignment horizontal="center" vertical="center"/>
    </xf>
    <xf numFmtId="0" fontId="52" fillId="31" borderId="1" xfId="0" applyFont="1" applyFill="1" applyBorder="1" applyAlignment="1">
      <alignment vertical="center"/>
    </xf>
    <xf numFmtId="4" fontId="10" fillId="31" borderId="1" xfId="0" applyNumberFormat="1" applyFont="1" applyFill="1" applyBorder="1" applyAlignment="1">
      <alignment horizontal="right" vertical="center" indent="10"/>
    </xf>
    <xf numFmtId="0" fontId="23" fillId="2" borderId="0" xfId="0" applyFont="1" applyFill="1" applyAlignment="1">
      <alignment horizontal="center" vertical="center"/>
    </xf>
    <xf numFmtId="166" fontId="39" fillId="27" borderId="1" xfId="0" applyNumberFormat="1" applyFont="1" applyFill="1" applyBorder="1" applyAlignment="1">
      <alignment horizontal="right" vertical="center" indent="3"/>
    </xf>
    <xf numFmtId="0" fontId="45" fillId="28" borderId="1" xfId="0" applyFont="1" applyFill="1" applyBorder="1" applyAlignment="1">
      <alignment horizontal="center" vertical="center" wrapText="1"/>
    </xf>
    <xf numFmtId="0" fontId="23" fillId="2" borderId="0" xfId="0" applyFont="1" applyFill="1" applyAlignment="1">
      <alignment horizontal="right" vertical="center"/>
    </xf>
    <xf numFmtId="166" fontId="23" fillId="2" borderId="0" xfId="0" applyNumberFormat="1" applyFont="1" applyFill="1" applyAlignment="1">
      <alignment horizontal="center" vertical="center"/>
    </xf>
    <xf numFmtId="0" fontId="23" fillId="2" borderId="0" xfId="0" applyFont="1" applyFill="1" applyAlignment="1">
      <alignment horizontal="center"/>
    </xf>
    <xf numFmtId="0" fontId="23" fillId="2" borderId="0" xfId="0" applyFont="1" applyFill="1" applyAlignment="1">
      <alignment horizontal="right"/>
    </xf>
    <xf numFmtId="0" fontId="46" fillId="29" borderId="1" xfId="0" applyFont="1" applyFill="1" applyBorder="1" applyAlignment="1">
      <alignment horizontal="left" vertical="center" wrapText="1"/>
    </xf>
    <xf numFmtId="0" fontId="48" fillId="11" borderId="1" xfId="0" applyFont="1" applyFill="1" applyBorder="1" applyAlignment="1">
      <alignment horizontal="center" vertical="center" wrapText="1"/>
    </xf>
    <xf numFmtId="0" fontId="10" fillId="2" borderId="0" xfId="0" applyFont="1" applyFill="1" applyAlignment="1">
      <alignment horizontal="center" vertical="center" wrapText="1"/>
    </xf>
    <xf numFmtId="0" fontId="52" fillId="0" borderId="0" xfId="0" applyFont="1" applyAlignment="1">
      <alignment vertical="center"/>
    </xf>
    <xf numFmtId="166" fontId="10" fillId="2" borderId="0" xfId="0" applyNumberFormat="1" applyFont="1" applyFill="1" applyAlignment="1">
      <alignment horizontal="right" vertical="center" indent="10"/>
    </xf>
    <xf numFmtId="0" fontId="10" fillId="2" borderId="0" xfId="0" applyFont="1" applyFill="1" applyAlignment="1">
      <alignment horizontal="right" vertical="center"/>
    </xf>
    <xf numFmtId="2" fontId="0" fillId="0" borderId="0" xfId="0" applyNumberFormat="1" applyAlignment="1">
      <alignment vertical="center" wrapText="1"/>
    </xf>
    <xf numFmtId="0" fontId="0" fillId="33" borderId="1" xfId="0" applyFill="1" applyBorder="1" applyAlignment="1">
      <alignment vertical="center" wrapText="1"/>
    </xf>
    <xf numFmtId="4" fontId="0" fillId="34" borderId="9" xfId="0" applyNumberFormat="1" applyFill="1" applyBorder="1" applyAlignment="1">
      <alignment horizontal="right" vertical="center" indent="1"/>
    </xf>
    <xf numFmtId="49" fontId="48" fillId="11" borderId="1" xfId="0" applyNumberFormat="1" applyFont="1" applyFill="1" applyBorder="1" applyAlignment="1">
      <alignment horizontal="left" vertical="center" wrapText="1" indent="1"/>
    </xf>
    <xf numFmtId="49" fontId="10" fillId="0" borderId="0" xfId="0" applyNumberFormat="1" applyFont="1" applyAlignment="1">
      <alignment horizontal="left" vertical="center" wrapText="1" indent="1"/>
    </xf>
    <xf numFmtId="166" fontId="13" fillId="2" borderId="0" xfId="0" applyNumberFormat="1" applyFont="1" applyFill="1" applyAlignment="1">
      <alignment horizontal="right" vertical="center" indent="10"/>
    </xf>
    <xf numFmtId="4" fontId="10" fillId="2" borderId="0" xfId="0" applyNumberFormat="1" applyFont="1" applyFill="1" applyAlignment="1">
      <alignment horizontal="right" vertical="center" indent="4"/>
    </xf>
    <xf numFmtId="0" fontId="10" fillId="4" borderId="1" xfId="0" applyFont="1" applyFill="1" applyBorder="1" applyAlignment="1">
      <alignment horizontal="right" vertical="center"/>
    </xf>
    <xf numFmtId="166" fontId="0" fillId="4" borderId="2" xfId="0" applyNumberFormat="1" applyFill="1" applyBorder="1" applyAlignment="1">
      <alignment horizontal="right" vertical="center" indent="3"/>
    </xf>
    <xf numFmtId="4" fontId="0" fillId="4" borderId="9" xfId="0" applyNumberFormat="1" applyFill="1" applyBorder="1" applyAlignment="1">
      <alignment horizontal="right" vertical="center" indent="4"/>
    </xf>
    <xf numFmtId="4" fontId="18" fillId="4" borderId="1" xfId="0" applyNumberFormat="1" applyFont="1" applyFill="1" applyBorder="1" applyAlignment="1">
      <alignment horizontal="right" vertical="center" indent="4"/>
    </xf>
    <xf numFmtId="0" fontId="0" fillId="33" borderId="4" xfId="0" applyFill="1" applyBorder="1" applyAlignment="1">
      <alignment vertical="center" wrapText="1"/>
    </xf>
    <xf numFmtId="49" fontId="0" fillId="0" borderId="2" xfId="0" applyNumberFormat="1" applyBorder="1" applyAlignment="1">
      <alignment horizontal="left" vertical="center" wrapText="1" indent="1"/>
    </xf>
    <xf numFmtId="49" fontId="0" fillId="0" borderId="0" xfId="0" applyNumberFormat="1" applyAlignment="1">
      <alignment horizontal="left" vertical="center" wrapText="1" indent="1"/>
    </xf>
    <xf numFmtId="0" fontId="11" fillId="0" borderId="0" xfId="0" applyFont="1" applyAlignment="1">
      <alignment horizontal="right" vertical="center"/>
    </xf>
    <xf numFmtId="4" fontId="49" fillId="2" borderId="0" xfId="0" applyNumberFormat="1" applyFont="1" applyFill="1" applyAlignment="1">
      <alignment horizontal="center" vertical="center"/>
    </xf>
    <xf numFmtId="4" fontId="0" fillId="2" borderId="0" xfId="0" applyNumberFormat="1" applyFill="1" applyAlignment="1">
      <alignment horizontal="right" vertical="center" indent="4"/>
    </xf>
    <xf numFmtId="166" fontId="39" fillId="25" borderId="10" xfId="0" applyNumberFormat="1" applyFont="1" applyFill="1" applyBorder="1" applyAlignment="1">
      <alignment horizontal="right" vertical="center" indent="3"/>
    </xf>
    <xf numFmtId="4" fontId="39" fillId="25" borderId="2" xfId="0" applyNumberFormat="1" applyFont="1" applyFill="1" applyBorder="1" applyAlignment="1">
      <alignment horizontal="right" vertical="center" indent="4"/>
    </xf>
    <xf numFmtId="4" fontId="12" fillId="12" borderId="2" xfId="0" applyNumberFormat="1" applyFont="1" applyFill="1" applyBorder="1" applyAlignment="1">
      <alignment horizontal="right" vertical="center" indent="4"/>
    </xf>
    <xf numFmtId="49" fontId="0" fillId="0" borderId="0" xfId="0" applyNumberFormat="1" applyAlignment="1">
      <alignment vertical="center" wrapText="1"/>
    </xf>
    <xf numFmtId="4" fontId="0" fillId="34" borderId="11" xfId="0" applyNumberFormat="1" applyFill="1" applyBorder="1" applyAlignment="1">
      <alignment horizontal="right" vertical="center" indent="1"/>
    </xf>
    <xf numFmtId="0" fontId="10" fillId="0" borderId="0" xfId="0" applyFont="1" applyAlignment="1">
      <alignment horizontal="right" vertical="center"/>
    </xf>
    <xf numFmtId="166" fontId="39" fillId="0" borderId="0" xfId="0" applyNumberFormat="1" applyFont="1" applyAlignment="1">
      <alignment horizontal="right" vertical="center" indent="3"/>
    </xf>
    <xf numFmtId="3" fontId="39" fillId="0" borderId="0" xfId="0" applyNumberFormat="1" applyFont="1" applyAlignment="1">
      <alignment horizontal="right" vertical="center" indent="4"/>
    </xf>
    <xf numFmtId="4" fontId="12" fillId="0" borderId="0" xfId="0" applyNumberFormat="1" applyFont="1" applyAlignment="1">
      <alignment horizontal="right" vertical="center" indent="4"/>
    </xf>
    <xf numFmtId="4" fontId="0" fillId="2" borderId="0" xfId="0" applyNumberFormat="1" applyFill="1" applyAlignment="1">
      <alignment horizontal="right" vertical="center" indent="2"/>
    </xf>
    <xf numFmtId="4" fontId="0" fillId="0" borderId="0" xfId="0" applyNumberFormat="1" applyAlignment="1">
      <alignment horizontal="right" vertical="center" indent="3"/>
    </xf>
    <xf numFmtId="166" fontId="0" fillId="2" borderId="0" xfId="0" applyNumberFormat="1" applyFill="1" applyAlignment="1">
      <alignment horizontal="right" vertical="center" indent="3"/>
    </xf>
    <xf numFmtId="3" fontId="0" fillId="2" borderId="0" xfId="0" applyNumberFormat="1" applyFill="1" applyAlignment="1">
      <alignment horizontal="right" vertical="center" indent="4"/>
    </xf>
    <xf numFmtId="3" fontId="18" fillId="2" borderId="0" xfId="0" applyNumberFormat="1" applyFont="1" applyFill="1" applyAlignment="1">
      <alignment horizontal="right" vertical="center" indent="4"/>
    </xf>
    <xf numFmtId="0" fontId="10" fillId="0" borderId="0" xfId="0" applyFont="1" applyAlignment="1">
      <alignment wrapText="1"/>
    </xf>
    <xf numFmtId="3" fontId="0" fillId="0" borderId="0" xfId="0" applyNumberFormat="1"/>
    <xf numFmtId="3" fontId="0" fillId="0" borderId="0" xfId="0" applyNumberFormat="1" applyAlignment="1">
      <alignment horizontal="left" indent="1"/>
    </xf>
    <xf numFmtId="3" fontId="0" fillId="2" borderId="0" xfId="0" applyNumberFormat="1" applyFill="1"/>
    <xf numFmtId="0" fontId="18" fillId="0" borderId="0" xfId="0" applyFont="1"/>
    <xf numFmtId="49" fontId="0" fillId="0" borderId="0" xfId="0" applyNumberFormat="1" applyAlignment="1">
      <alignment horizontal="left" vertical="center" wrapText="1"/>
    </xf>
    <xf numFmtId="0" fontId="48" fillId="11" borderId="1" xfId="0" applyFont="1" applyFill="1" applyBorder="1" applyAlignment="1">
      <alignment vertical="center" wrapText="1"/>
    </xf>
    <xf numFmtId="0" fontId="48" fillId="11" borderId="9" xfId="0" applyFont="1" applyFill="1" applyBorder="1" applyAlignment="1">
      <alignment horizontal="center" vertical="center" wrapText="1"/>
    </xf>
    <xf numFmtId="0" fontId="10" fillId="0" borderId="1" xfId="0" applyFont="1" applyBorder="1"/>
    <xf numFmtId="4" fontId="0" fillId="2" borderId="0" xfId="0" applyNumberFormat="1" applyFill="1" applyAlignment="1">
      <alignment horizontal="center" vertical="center" wrapText="1"/>
    </xf>
    <xf numFmtId="0" fontId="0" fillId="0" borderId="1" xfId="0" applyBorder="1"/>
    <xf numFmtId="4" fontId="0" fillId="0" borderId="1" xfId="0" applyNumberFormat="1" applyBorder="1" applyAlignment="1">
      <alignment horizontal="left" vertical="center"/>
    </xf>
    <xf numFmtId="0" fontId="0" fillId="4" borderId="1" xfId="0" applyFill="1" applyBorder="1" applyAlignment="1">
      <alignment vertical="center" wrapText="1"/>
    </xf>
    <xf numFmtId="2" fontId="0" fillId="4" borderId="1" xfId="0" applyNumberFormat="1" applyFill="1" applyBorder="1" applyAlignment="1">
      <alignment horizontal="right" vertical="center" indent="3"/>
    </xf>
    <xf numFmtId="166" fontId="0" fillId="4" borderId="1" xfId="0" applyNumberFormat="1" applyFill="1" applyBorder="1" applyAlignment="1">
      <alignment horizontal="right" vertical="center" indent="4"/>
    </xf>
    <xf numFmtId="166" fontId="0" fillId="4" borderId="1" xfId="0" applyNumberFormat="1" applyFill="1" applyBorder="1" applyAlignment="1">
      <alignment horizontal="right" vertical="center" indent="3"/>
    </xf>
    <xf numFmtId="4" fontId="0" fillId="4" borderId="1" xfId="0" applyNumberFormat="1" applyFill="1" applyBorder="1" applyAlignment="1">
      <alignment horizontal="right" vertical="center" indent="4"/>
    </xf>
    <xf numFmtId="4" fontId="0" fillId="34" borderId="3" xfId="0" applyNumberFormat="1" applyFill="1" applyBorder="1" applyAlignment="1">
      <alignment horizontal="right" vertical="center" indent="1"/>
    </xf>
    <xf numFmtId="49" fontId="0" fillId="0" borderId="1" xfId="0" applyNumberFormat="1" applyBorder="1" applyAlignment="1">
      <alignment horizontal="left" vertical="center" wrapText="1" indent="1"/>
    </xf>
    <xf numFmtId="0" fontId="0" fillId="0" borderId="9" xfId="0" applyBorder="1"/>
    <xf numFmtId="4" fontId="0" fillId="0" borderId="9" xfId="0" applyNumberFormat="1" applyBorder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37" fillId="0" borderId="0" xfId="0" applyFont="1" applyAlignment="1">
      <alignment horizontal="center" vertical="center"/>
    </xf>
    <xf numFmtId="4" fontId="0" fillId="0" borderId="0" xfId="0" applyNumberFormat="1" applyAlignment="1">
      <alignment horizontal="left" indent="1"/>
    </xf>
    <xf numFmtId="4" fontId="0" fillId="0" borderId="0" xfId="0" applyNumberFormat="1" applyAlignment="1">
      <alignment horizontal="right" indent="5"/>
    </xf>
    <xf numFmtId="4" fontId="10" fillId="2" borderId="0" xfId="0" applyNumberFormat="1" applyFont="1" applyFill="1" applyAlignment="1">
      <alignment horizontal="center" vertical="center"/>
    </xf>
    <xf numFmtId="166" fontId="52" fillId="4" borderId="1" xfId="0" applyNumberFormat="1" applyFont="1" applyFill="1" applyBorder="1" applyAlignment="1">
      <alignment horizontal="right" vertical="center" indent="3"/>
    </xf>
    <xf numFmtId="4" fontId="52" fillId="4" borderId="1" xfId="0" applyNumberFormat="1" applyFont="1" applyFill="1" applyBorder="1" applyAlignment="1">
      <alignment horizontal="right" vertical="center" indent="4"/>
    </xf>
    <xf numFmtId="4" fontId="12" fillId="4" borderId="1" xfId="0" applyNumberFormat="1" applyFont="1" applyFill="1" applyBorder="1" applyAlignment="1">
      <alignment horizontal="right" vertical="center" indent="4"/>
    </xf>
    <xf numFmtId="49" fontId="35" fillId="0" borderId="0" xfId="0" applyNumberFormat="1" applyFont="1" applyAlignment="1">
      <alignment horizontal="left" indent="1"/>
    </xf>
    <xf numFmtId="0" fontId="0" fillId="0" borderId="0" xfId="0" applyAlignment="1">
      <alignment horizontal="left" vertical="center" indent="1"/>
    </xf>
    <xf numFmtId="0" fontId="48" fillId="33" borderId="1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48" fillId="11" borderId="9" xfId="0" applyFont="1" applyFill="1" applyBorder="1" applyAlignment="1">
      <alignment horizontal="left" vertical="center" wrapText="1"/>
    </xf>
    <xf numFmtId="165" fontId="10" fillId="4" borderId="1" xfId="0" applyNumberFormat="1" applyFont="1" applyFill="1" applyBorder="1" applyAlignment="1">
      <alignment horizontal="center" vertical="center" wrapText="1"/>
    </xf>
    <xf numFmtId="0" fontId="12" fillId="4" borderId="1" xfId="0" applyFont="1" applyFill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center" vertical="top" wrapText="1"/>
    </xf>
    <xf numFmtId="0" fontId="0" fillId="33" borderId="1" xfId="0" applyFill="1" applyBorder="1" applyAlignment="1">
      <alignment vertical="center"/>
    </xf>
    <xf numFmtId="4" fontId="0" fillId="34" borderId="1" xfId="0" applyNumberFormat="1" applyFill="1" applyBorder="1" applyAlignment="1">
      <alignment horizontal="right" vertical="center" indent="1"/>
    </xf>
    <xf numFmtId="49" fontId="0" fillId="0" borderId="1" xfId="0" applyNumberFormat="1" applyBorder="1" applyAlignment="1">
      <alignment vertical="top" wrapText="1"/>
    </xf>
    <xf numFmtId="49" fontId="0" fillId="0" borderId="0" xfId="0" applyNumberFormat="1" applyAlignment="1">
      <alignment horizontal="left" vertical="top" wrapText="1" indent="1"/>
    </xf>
    <xf numFmtId="166" fontId="0" fillId="0" borderId="0" xfId="0" applyNumberFormat="1" applyAlignment="1">
      <alignment horizontal="right" vertical="center" indent="3"/>
    </xf>
    <xf numFmtId="1" fontId="0" fillId="4" borderId="1" xfId="0" applyNumberFormat="1" applyFill="1" applyBorder="1" applyAlignment="1">
      <alignment horizontal="right" vertical="center" indent="5"/>
    </xf>
    <xf numFmtId="9" fontId="10" fillId="0" borderId="0" xfId="0" applyNumberFormat="1" applyFont="1"/>
    <xf numFmtId="1" fontId="0" fillId="0" borderId="0" xfId="0" applyNumberFormat="1"/>
    <xf numFmtId="2" fontId="0" fillId="0" borderId="0" xfId="0" applyNumberFormat="1"/>
    <xf numFmtId="9" fontId="0" fillId="0" borderId="0" xfId="0" applyNumberFormat="1"/>
    <xf numFmtId="2" fontId="10" fillId="0" borderId="0" xfId="0" applyNumberFormat="1" applyFont="1"/>
    <xf numFmtId="166" fontId="0" fillId="0" borderId="0" xfId="0" applyNumberFormat="1" applyAlignment="1">
      <alignment horizontal="right" vertical="center" indent="2"/>
    </xf>
    <xf numFmtId="166" fontId="0" fillId="2" borderId="0" xfId="0" applyNumberFormat="1" applyFill="1" applyAlignment="1">
      <alignment horizontal="right" vertical="center" indent="2"/>
    </xf>
    <xf numFmtId="166" fontId="0" fillId="4" borderId="1" xfId="0" applyNumberFormat="1" applyFill="1" applyBorder="1" applyAlignment="1">
      <alignment horizontal="right" vertical="center" indent="2"/>
    </xf>
    <xf numFmtId="3" fontId="0" fillId="0" borderId="0" xfId="0" applyNumberFormat="1" applyAlignment="1">
      <alignment horizontal="right" vertical="center" indent="4"/>
    </xf>
    <xf numFmtId="4" fontId="10" fillId="2" borderId="0" xfId="0" applyNumberFormat="1" applyFont="1" applyFill="1" applyAlignment="1">
      <alignment horizontal="right" vertical="center" indent="2"/>
    </xf>
    <xf numFmtId="0" fontId="10" fillId="4" borderId="1" xfId="0" applyFont="1" applyFill="1" applyBorder="1" applyAlignment="1">
      <alignment vertical="center"/>
    </xf>
    <xf numFmtId="2" fontId="0" fillId="4" borderId="1" xfId="0" applyNumberFormat="1" applyFill="1" applyBorder="1" applyAlignment="1">
      <alignment vertical="center"/>
    </xf>
    <xf numFmtId="1" fontId="0" fillId="4" borderId="1" xfId="0" applyNumberFormat="1" applyFill="1" applyBorder="1" applyAlignment="1">
      <alignment vertical="center"/>
    </xf>
    <xf numFmtId="166" fontId="0" fillId="4" borderId="1" xfId="0" applyNumberFormat="1" applyFill="1" applyBorder="1" applyAlignment="1">
      <alignment vertical="center"/>
    </xf>
    <xf numFmtId="4" fontId="10" fillId="4" borderId="1" xfId="0" applyNumberFormat="1" applyFont="1" applyFill="1" applyBorder="1" applyAlignment="1">
      <alignment horizontal="right" vertical="center" indent="4"/>
    </xf>
    <xf numFmtId="1" fontId="0" fillId="0" borderId="0" xfId="0" applyNumberFormat="1" applyAlignment="1">
      <alignment vertical="center"/>
    </xf>
    <xf numFmtId="3" fontId="18" fillId="0" borderId="0" xfId="0" applyNumberFormat="1" applyFont="1" applyAlignment="1">
      <alignment vertical="center"/>
    </xf>
    <xf numFmtId="1" fontId="18" fillId="0" borderId="0" xfId="0" applyNumberFormat="1" applyFont="1" applyAlignment="1">
      <alignment vertical="center"/>
    </xf>
    <xf numFmtId="3" fontId="0" fillId="0" borderId="0" xfId="0" applyNumberFormat="1" applyAlignment="1">
      <alignment horizontal="right" vertical="center" indent="3"/>
    </xf>
    <xf numFmtId="3" fontId="18" fillId="0" borderId="0" xfId="0" applyNumberFormat="1" applyFont="1" applyAlignment="1">
      <alignment horizontal="right" vertical="center" indent="3"/>
    </xf>
    <xf numFmtId="0" fontId="35" fillId="32" borderId="4" xfId="0" applyFont="1" applyFill="1" applyBorder="1" applyAlignment="1">
      <alignment vertical="center" wrapText="1"/>
    </xf>
    <xf numFmtId="4" fontId="0" fillId="0" borderId="0" xfId="0" applyNumberFormat="1" applyAlignment="1">
      <alignment horizontal="right" vertical="center" indent="4"/>
    </xf>
    <xf numFmtId="0" fontId="35" fillId="28" borderId="1" xfId="0" applyFont="1" applyFill="1" applyBorder="1" applyAlignment="1">
      <alignment vertical="center" wrapText="1"/>
    </xf>
    <xf numFmtId="0" fontId="18" fillId="4" borderId="1" xfId="0" applyFont="1" applyFill="1" applyBorder="1" applyAlignment="1">
      <alignment horizontal="right" vertical="center" indent="4"/>
    </xf>
    <xf numFmtId="166" fontId="0" fillId="0" borderId="0" xfId="0" applyNumberFormat="1"/>
    <xf numFmtId="165" fontId="0" fillId="0" borderId="0" xfId="0" applyNumberFormat="1"/>
    <xf numFmtId="0" fontId="0" fillId="33" borderId="4" xfId="0" applyFill="1" applyBorder="1" applyAlignment="1">
      <alignment vertical="center"/>
    </xf>
    <xf numFmtId="49" fontId="0" fillId="0" borderId="0" xfId="0" applyNumberFormat="1" applyAlignment="1">
      <alignment horizontal="left" vertical="center" indent="1"/>
    </xf>
    <xf numFmtId="49" fontId="0" fillId="0" borderId="2" xfId="0" applyNumberFormat="1" applyBorder="1" applyAlignment="1">
      <alignment horizontal="left" vertical="center" indent="1"/>
    </xf>
    <xf numFmtId="165" fontId="18" fillId="4" borderId="1" xfId="0" applyNumberFormat="1" applyFont="1" applyFill="1" applyBorder="1" applyAlignment="1">
      <alignment horizontal="right" vertical="center" indent="4"/>
    </xf>
    <xf numFmtId="0" fontId="0" fillId="33" borderId="69" xfId="0" applyFill="1" applyBorder="1" applyAlignment="1">
      <alignment vertical="center"/>
    </xf>
    <xf numFmtId="49" fontId="0" fillId="0" borderId="95" xfId="0" applyNumberFormat="1" applyBorder="1" applyAlignment="1">
      <alignment horizontal="left" vertical="center" indent="1"/>
    </xf>
    <xf numFmtId="49" fontId="0" fillId="0" borderId="0" xfId="0" applyNumberFormat="1" applyAlignment="1">
      <alignment horizontal="left" indent="1"/>
    </xf>
    <xf numFmtId="2" fontId="0" fillId="4" borderId="1" xfId="0" applyNumberFormat="1" applyFill="1" applyBorder="1" applyAlignment="1">
      <alignment horizontal="right" vertical="center" indent="7"/>
    </xf>
    <xf numFmtId="3" fontId="12" fillId="0" borderId="0" xfId="0" applyNumberFormat="1" applyFont="1" applyAlignment="1">
      <alignment vertical="center"/>
    </xf>
    <xf numFmtId="3" fontId="12" fillId="2" borderId="0" xfId="0" applyNumberFormat="1" applyFont="1" applyFill="1" applyAlignment="1">
      <alignment vertical="center"/>
    </xf>
    <xf numFmtId="0" fontId="10" fillId="2" borderId="0" xfId="0" applyFont="1" applyFill="1" applyAlignment="1">
      <alignment vertical="center"/>
    </xf>
    <xf numFmtId="165" fontId="10" fillId="0" borderId="0" xfId="0" applyNumberFormat="1" applyFont="1" applyAlignment="1">
      <alignment vertical="center"/>
    </xf>
    <xf numFmtId="4" fontId="10" fillId="0" borderId="0" xfId="0" applyNumberFormat="1" applyFont="1" applyAlignment="1">
      <alignment horizontal="right" vertical="center" indent="4"/>
    </xf>
    <xf numFmtId="3" fontId="12" fillId="0" borderId="0" xfId="0" applyNumberFormat="1" applyFont="1" applyAlignment="1">
      <alignment horizontal="right" vertical="center" indent="4"/>
    </xf>
    <xf numFmtId="49" fontId="0" fillId="0" borderId="0" xfId="0" applyNumberFormat="1"/>
    <xf numFmtId="49" fontId="0" fillId="0" borderId="0" xfId="0" applyNumberFormat="1" applyAlignment="1">
      <alignment vertical="top" wrapText="1"/>
    </xf>
    <xf numFmtId="0" fontId="10" fillId="17" borderId="1" xfId="0" applyFont="1" applyFill="1" applyBorder="1" applyAlignment="1">
      <alignment vertical="center"/>
    </xf>
    <xf numFmtId="165" fontId="10" fillId="17" borderId="1" xfId="0" applyNumberFormat="1" applyFont="1" applyFill="1" applyBorder="1" applyAlignment="1">
      <alignment vertical="center"/>
    </xf>
    <xf numFmtId="0" fontId="0" fillId="17" borderId="1" xfId="0" applyFill="1" applyBorder="1" applyAlignment="1">
      <alignment vertical="center"/>
    </xf>
    <xf numFmtId="0" fontId="10" fillId="17" borderId="1" xfId="0" applyFont="1" applyFill="1" applyBorder="1" applyAlignment="1">
      <alignment horizontal="right" vertical="center"/>
    </xf>
    <xf numFmtId="166" fontId="10" fillId="17" borderId="1" xfId="0" applyNumberFormat="1" applyFont="1" applyFill="1" applyBorder="1" applyAlignment="1">
      <alignment horizontal="right" vertical="center" indent="3"/>
    </xf>
    <xf numFmtId="4" fontId="10" fillId="17" borderId="1" xfId="0" applyNumberFormat="1" applyFont="1" applyFill="1" applyBorder="1" applyAlignment="1">
      <alignment horizontal="right" vertical="center" indent="4"/>
    </xf>
    <xf numFmtId="4" fontId="12" fillId="17" borderId="1" xfId="0" applyNumberFormat="1" applyFont="1" applyFill="1" applyBorder="1" applyAlignment="1">
      <alignment horizontal="right" vertical="center" indent="4"/>
    </xf>
    <xf numFmtId="0" fontId="45" fillId="0" borderId="0" xfId="0" applyFont="1" applyAlignment="1">
      <alignment horizontal="left" vertical="center"/>
    </xf>
    <xf numFmtId="0" fontId="52" fillId="30" borderId="1" xfId="0" applyFont="1" applyFill="1" applyBorder="1" applyAlignment="1">
      <alignment vertical="center"/>
    </xf>
    <xf numFmtId="0" fontId="0" fillId="7" borderId="1" xfId="0" applyFill="1" applyBorder="1" applyAlignment="1">
      <alignment vertical="center"/>
    </xf>
    <xf numFmtId="0" fontId="10" fillId="7" borderId="1" xfId="0" applyFont="1" applyFill="1" applyBorder="1" applyAlignment="1">
      <alignment horizontal="right" vertical="center"/>
    </xf>
    <xf numFmtId="166" fontId="52" fillId="27" borderId="1" xfId="0" applyNumberFormat="1" applyFont="1" applyFill="1" applyBorder="1" applyAlignment="1">
      <alignment horizontal="right" vertical="center" indent="3"/>
    </xf>
    <xf numFmtId="4" fontId="10" fillId="7" borderId="1" xfId="0" applyNumberFormat="1" applyFont="1" applyFill="1" applyBorder="1" applyAlignment="1">
      <alignment horizontal="right" vertical="center" indent="4"/>
    </xf>
    <xf numFmtId="168" fontId="12" fillId="7" borderId="1" xfId="0" applyNumberFormat="1" applyFont="1" applyFill="1" applyBorder="1" applyAlignment="1">
      <alignment horizontal="right" vertical="center" indent="4"/>
    </xf>
    <xf numFmtId="0" fontId="0" fillId="0" borderId="13" xfId="0" applyBorder="1" applyAlignment="1">
      <alignment vertical="center"/>
    </xf>
    <xf numFmtId="9" fontId="10" fillId="0" borderId="0" xfId="0" applyNumberFormat="1" applyFont="1" applyAlignment="1">
      <alignment horizontal="right" vertical="center" indent="3"/>
    </xf>
    <xf numFmtId="4" fontId="18" fillId="0" borderId="0" xfId="0" applyNumberFormat="1" applyFont="1" applyAlignment="1">
      <alignment horizontal="right" vertical="center" indent="5"/>
    </xf>
    <xf numFmtId="0" fontId="65" fillId="0" borderId="0" xfId="0" applyFont="1" applyAlignment="1">
      <alignment horizontal="center" vertical="top" wrapText="1"/>
    </xf>
    <xf numFmtId="0" fontId="30" fillId="0" borderId="0" xfId="0" applyFont="1"/>
    <xf numFmtId="0" fontId="2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right" vertical="center" indent="1"/>
    </xf>
    <xf numFmtId="0" fontId="10" fillId="4" borderId="21" xfId="0" applyFont="1" applyFill="1" applyBorder="1" applyAlignment="1">
      <alignment horizontal="left" vertical="center" wrapText="1"/>
    </xf>
    <xf numFmtId="4" fontId="0" fillId="0" borderId="0" xfId="0" applyNumberFormat="1" applyAlignment="1">
      <alignment horizontal="right" vertical="center" indent="1"/>
    </xf>
    <xf numFmtId="1" fontId="0" fillId="0" borderId="21" xfId="0" applyNumberFormat="1" applyBorder="1" applyAlignment="1">
      <alignment horizontal="center" vertical="center" wrapText="1"/>
    </xf>
    <xf numFmtId="1" fontId="10" fillId="4" borderId="21" xfId="0" applyNumberFormat="1" applyFont="1" applyFill="1" applyBorder="1" applyAlignment="1">
      <alignment vertical="center" wrapText="1"/>
    </xf>
    <xf numFmtId="168" fontId="0" fillId="0" borderId="0" xfId="0" applyNumberFormat="1" applyAlignment="1">
      <alignment horizontal="right" vertical="center" indent="1"/>
    </xf>
    <xf numFmtId="168" fontId="20" fillId="0" borderId="0" xfId="0" applyNumberFormat="1" applyFont="1" applyAlignment="1">
      <alignment horizontal="left" vertical="center" wrapText="1"/>
    </xf>
    <xf numFmtId="3" fontId="0" fillId="0" borderId="0" xfId="0" applyNumberFormat="1" applyAlignment="1">
      <alignment horizontal="right" vertical="center" indent="1"/>
    </xf>
    <xf numFmtId="168" fontId="0" fillId="0" borderId="44" xfId="0" applyNumberFormat="1" applyBorder="1" applyAlignment="1">
      <alignment horizontal="right" vertical="center"/>
    </xf>
    <xf numFmtId="168" fontId="0" fillId="0" borderId="46" xfId="0" applyNumberFormat="1" applyBorder="1" applyAlignment="1">
      <alignment horizontal="left" vertical="center"/>
    </xf>
    <xf numFmtId="168" fontId="18" fillId="0" borderId="0" xfId="0" applyNumberFormat="1" applyFont="1" applyAlignment="1">
      <alignment horizontal="right" vertical="center" wrapText="1"/>
    </xf>
    <xf numFmtId="168" fontId="0" fillId="0" borderId="0" xfId="0" applyNumberFormat="1" applyAlignment="1">
      <alignment horizontal="left" vertical="center"/>
    </xf>
    <xf numFmtId="4" fontId="0" fillId="0" borderId="32" xfId="0" applyNumberFormat="1" applyBorder="1" applyAlignment="1">
      <alignment horizontal="right" vertical="center"/>
    </xf>
    <xf numFmtId="4" fontId="0" fillId="0" borderId="54" xfId="0" applyNumberFormat="1" applyBorder="1" applyAlignment="1">
      <alignment horizontal="left" vertical="center"/>
    </xf>
    <xf numFmtId="4" fontId="0" fillId="0" borderId="44" xfId="0" applyNumberFormat="1" applyBorder="1" applyAlignment="1">
      <alignment horizontal="right" vertical="center"/>
    </xf>
    <xf numFmtId="0" fontId="0" fillId="0" borderId="46" xfId="0" applyBorder="1" applyAlignment="1">
      <alignment horizontal="left"/>
    </xf>
    <xf numFmtId="4" fontId="0" fillId="0" borderId="46" xfId="0" applyNumberFormat="1" applyBorder="1" applyAlignment="1">
      <alignment horizontal="left" vertical="center"/>
    </xf>
    <xf numFmtId="168" fontId="62" fillId="0" borderId="0" xfId="0" applyNumberFormat="1" applyFont="1" applyAlignment="1">
      <alignment horizontal="left" vertical="center" wrapText="1"/>
    </xf>
    <xf numFmtId="168" fontId="0" fillId="0" borderId="32" xfId="0" applyNumberFormat="1" applyBorder="1" applyAlignment="1">
      <alignment horizontal="right" vertical="center"/>
    </xf>
    <xf numFmtId="168" fontId="0" fillId="0" borderId="54" xfId="0" applyNumberFormat="1" applyBorder="1" applyAlignment="1">
      <alignment horizontal="left" vertical="center"/>
    </xf>
    <xf numFmtId="2" fontId="0" fillId="0" borderId="0" xfId="0" applyNumberFormat="1" applyAlignment="1">
      <alignment horizontal="left" vertical="center"/>
    </xf>
    <xf numFmtId="170" fontId="0" fillId="0" borderId="0" xfId="0" applyNumberFormat="1" applyAlignment="1">
      <alignment horizontal="left" vertical="center"/>
    </xf>
    <xf numFmtId="4" fontId="10" fillId="0" borderId="32" xfId="0" applyNumberFormat="1" applyFont="1" applyBorder="1" applyAlignment="1">
      <alignment horizontal="right" vertical="center"/>
    </xf>
    <xf numFmtId="4" fontId="10" fillId="0" borderId="54" xfId="0" applyNumberFormat="1" applyFont="1" applyBorder="1" applyAlignment="1">
      <alignment horizontal="left" vertical="center"/>
    </xf>
    <xf numFmtId="168" fontId="12" fillId="0" borderId="0" xfId="0" applyNumberFormat="1" applyFont="1" applyAlignment="1">
      <alignment horizontal="right" vertical="center" wrapText="1"/>
    </xf>
    <xf numFmtId="4" fontId="0" fillId="0" borderId="8" xfId="0" applyNumberFormat="1" applyBorder="1" applyAlignment="1">
      <alignment horizontal="right" vertical="center" indent="2"/>
    </xf>
    <xf numFmtId="165" fontId="81" fillId="0" borderId="0" xfId="0" applyNumberFormat="1" applyFont="1" applyAlignment="1">
      <alignment horizontal="center"/>
    </xf>
    <xf numFmtId="4" fontId="0" fillId="0" borderId="2" xfId="0" applyNumberFormat="1" applyBorder="1" applyAlignment="1">
      <alignment horizontal="right" vertical="center" indent="2"/>
    </xf>
    <xf numFmtId="0" fontId="81" fillId="0" borderId="0" xfId="0" applyFont="1"/>
    <xf numFmtId="2" fontId="0" fillId="8" borderId="55" xfId="0" applyNumberFormat="1" applyFill="1" applyBorder="1" applyAlignment="1">
      <alignment horizontal="right" vertical="center"/>
    </xf>
    <xf numFmtId="10" fontId="0" fillId="8" borderId="42" xfId="0" applyNumberFormat="1" applyFill="1" applyBorder="1" applyAlignment="1">
      <alignment horizontal="left" vertical="center"/>
    </xf>
    <xf numFmtId="0" fontId="81" fillId="0" borderId="0" xfId="0" applyFont="1" applyAlignment="1">
      <alignment vertical="center"/>
    </xf>
    <xf numFmtId="168" fontId="0" fillId="0" borderId="44" xfId="0" applyNumberFormat="1" applyBorder="1" applyAlignment="1">
      <alignment horizontal="right" vertical="center" wrapText="1"/>
    </xf>
    <xf numFmtId="168" fontId="0" fillId="0" borderId="46" xfId="0" applyNumberFormat="1" applyBorder="1" applyAlignment="1">
      <alignment horizontal="left" vertical="center" wrapText="1"/>
    </xf>
    <xf numFmtId="4" fontId="10" fillId="0" borderId="2" xfId="0" applyNumberFormat="1" applyFont="1" applyBorder="1" applyAlignment="1">
      <alignment horizontal="right" vertical="center" indent="2"/>
    </xf>
    <xf numFmtId="168" fontId="0" fillId="0" borderId="41" xfId="0" applyNumberFormat="1" applyBorder="1" applyAlignment="1">
      <alignment horizontal="right" vertical="center" wrapText="1"/>
    </xf>
    <xf numFmtId="168" fontId="0" fillId="0" borderId="51" xfId="0" applyNumberFormat="1" applyBorder="1" applyAlignment="1">
      <alignment horizontal="left" vertical="center" wrapText="1"/>
    </xf>
    <xf numFmtId="0" fontId="26" fillId="4" borderId="2" xfId="0" applyFont="1" applyFill="1" applyBorder="1" applyAlignment="1">
      <alignment horizontal="center" vertical="center" wrapText="1"/>
    </xf>
    <xf numFmtId="0" fontId="26" fillId="4" borderId="1" xfId="0" applyFont="1" applyFill="1" applyBorder="1" applyAlignment="1">
      <alignment horizontal="center" vertical="center" wrapText="1"/>
    </xf>
    <xf numFmtId="168" fontId="0" fillId="0" borderId="32" xfId="0" applyNumberFormat="1" applyBorder="1" applyAlignment="1">
      <alignment horizontal="right" vertical="center" wrapText="1"/>
    </xf>
    <xf numFmtId="168" fontId="0" fillId="0" borderId="54" xfId="0" applyNumberFormat="1" applyBorder="1" applyAlignment="1">
      <alignment horizontal="left" vertical="center" wrapText="1"/>
    </xf>
    <xf numFmtId="168" fontId="0" fillId="0" borderId="1" xfId="0" applyNumberFormat="1" applyBorder="1" applyAlignment="1">
      <alignment horizontal="right" vertical="center" indent="1"/>
    </xf>
    <xf numFmtId="170" fontId="10" fillId="0" borderId="0" xfId="0" applyNumberFormat="1" applyFont="1" applyAlignment="1">
      <alignment horizontal="left" vertical="center" wrapText="1"/>
    </xf>
    <xf numFmtId="4" fontId="0" fillId="0" borderId="55" xfId="0" applyNumberFormat="1" applyBorder="1" applyAlignment="1">
      <alignment horizontal="right" vertical="center" wrapText="1"/>
    </xf>
    <xf numFmtId="4" fontId="0" fillId="0" borderId="42" xfId="0" applyNumberFormat="1" applyBorder="1" applyAlignment="1">
      <alignment horizontal="left" vertical="center" wrapText="1"/>
    </xf>
    <xf numFmtId="4" fontId="0" fillId="0" borderId="1" xfId="0" applyNumberFormat="1" applyBorder="1" applyAlignment="1">
      <alignment horizontal="right" vertical="center" indent="1"/>
    </xf>
    <xf numFmtId="4" fontId="10" fillId="0" borderId="44" xfId="0" applyNumberFormat="1" applyFont="1" applyBorder="1" applyAlignment="1">
      <alignment horizontal="right" vertical="center" wrapText="1"/>
    </xf>
    <xf numFmtId="4" fontId="10" fillId="0" borderId="46" xfId="0" applyNumberFormat="1" applyFont="1" applyBorder="1" applyAlignment="1">
      <alignment horizontal="left" vertical="center"/>
    </xf>
    <xf numFmtId="170" fontId="0" fillId="0" borderId="0" xfId="0" applyNumberFormat="1" applyAlignment="1">
      <alignment horizontal="left" vertical="center" wrapText="1"/>
    </xf>
    <xf numFmtId="165" fontId="81" fillId="0" borderId="0" xfId="0" applyNumberFormat="1" applyFont="1" applyAlignment="1">
      <alignment horizontal="center" vertical="center"/>
    </xf>
    <xf numFmtId="168" fontId="10" fillId="0" borderId="1" xfId="0" applyNumberFormat="1" applyFont="1" applyBorder="1" applyAlignment="1">
      <alignment horizontal="right" vertical="center" indent="1"/>
    </xf>
    <xf numFmtId="0" fontId="23" fillId="0" borderId="0" xfId="0" applyFont="1" applyAlignment="1">
      <alignment horizontal="right" vertical="center" indent="1"/>
    </xf>
    <xf numFmtId="0" fontId="82" fillId="0" borderId="0" xfId="0" applyFont="1" applyAlignment="1">
      <alignment horizontal="right" vertical="center" indent="1"/>
    </xf>
    <xf numFmtId="168" fontId="10" fillId="0" borderId="0" xfId="0" applyNumberFormat="1" applyFont="1" applyAlignment="1">
      <alignment horizontal="right" vertical="center" indent="1"/>
    </xf>
    <xf numFmtId="168" fontId="18" fillId="0" borderId="2" xfId="0" applyNumberFormat="1" applyFont="1" applyBorder="1" applyAlignment="1">
      <alignment horizontal="right" vertical="center" indent="1"/>
    </xf>
    <xf numFmtId="168" fontId="18" fillId="0" borderId="1" xfId="0" applyNumberFormat="1" applyFont="1" applyBorder="1" applyAlignment="1">
      <alignment horizontal="right" vertical="center" indent="1"/>
    </xf>
    <xf numFmtId="0" fontId="0" fillId="0" borderId="0" xfId="0" applyAlignment="1">
      <alignment horizontal="left" vertical="center" wrapText="1"/>
    </xf>
    <xf numFmtId="170" fontId="0" fillId="0" borderId="0" xfId="0" applyNumberFormat="1" applyAlignment="1">
      <alignment vertical="center" wrapText="1"/>
    </xf>
    <xf numFmtId="168" fontId="12" fillId="0" borderId="2" xfId="0" applyNumberFormat="1" applyFont="1" applyBorder="1" applyAlignment="1">
      <alignment horizontal="right" vertical="center" indent="1"/>
    </xf>
    <xf numFmtId="168" fontId="12" fillId="0" borderId="1" xfId="0" applyNumberFormat="1" applyFont="1" applyBorder="1" applyAlignment="1">
      <alignment horizontal="right" vertical="center" indent="1"/>
    </xf>
    <xf numFmtId="0" fontId="18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32" borderId="96" xfId="0" applyFont="1" applyFill="1" applyBorder="1" applyAlignment="1">
      <alignment horizontal="center" wrapText="1"/>
    </xf>
    <xf numFmtId="0" fontId="2" fillId="32" borderId="97" xfId="0" applyFont="1" applyFill="1" applyBorder="1" applyAlignment="1">
      <alignment horizontal="center" wrapText="1"/>
    </xf>
    <xf numFmtId="0" fontId="2" fillId="32" borderId="98" xfId="0" applyFont="1" applyFill="1" applyBorder="1" applyAlignment="1">
      <alignment horizontal="center" wrapText="1"/>
    </xf>
    <xf numFmtId="0" fontId="2" fillId="32" borderId="99" xfId="0" applyFont="1" applyFill="1" applyBorder="1" applyAlignment="1">
      <alignment horizontal="center" wrapText="1"/>
    </xf>
    <xf numFmtId="0" fontId="16" fillId="16" borderId="1" xfId="0" applyFont="1" applyFill="1" applyBorder="1" applyAlignment="1">
      <alignment horizontal="center" vertical="center"/>
    </xf>
    <xf numFmtId="0" fontId="16" fillId="16" borderId="77" xfId="0" applyFont="1" applyFill="1" applyBorder="1" applyAlignment="1">
      <alignment horizontal="center" vertical="center"/>
    </xf>
    <xf numFmtId="0" fontId="16" fillId="16" borderId="9" xfId="0" applyFont="1" applyFill="1" applyBorder="1" applyAlignment="1">
      <alignment horizontal="center" vertical="center"/>
    </xf>
    <xf numFmtId="2" fontId="15" fillId="0" borderId="1" xfId="0" applyNumberFormat="1" applyFont="1" applyBorder="1" applyAlignment="1" applyProtection="1">
      <alignment horizontal="right" indent="1"/>
      <protection locked="0"/>
    </xf>
    <xf numFmtId="2" fontId="15" fillId="0" borderId="77" xfId="0" applyNumberFormat="1" applyFont="1" applyBorder="1" applyAlignment="1" applyProtection="1">
      <alignment horizontal="right" indent="1"/>
      <protection locked="0"/>
    </xf>
    <xf numFmtId="2" fontId="16" fillId="9" borderId="4" xfId="0" applyNumberFormat="1" applyFont="1" applyFill="1" applyBorder="1" applyAlignment="1">
      <alignment horizontal="right" indent="1"/>
    </xf>
    <xf numFmtId="2" fontId="15" fillId="9" borderId="1" xfId="0" applyNumberFormat="1" applyFont="1" applyFill="1" applyBorder="1" applyAlignment="1">
      <alignment horizontal="right" indent="1"/>
    </xf>
    <xf numFmtId="2" fontId="15" fillId="9" borderId="77" xfId="0" applyNumberFormat="1" applyFont="1" applyFill="1" applyBorder="1" applyAlignment="1">
      <alignment horizontal="right" indent="1"/>
    </xf>
    <xf numFmtId="2" fontId="15" fillId="2" borderId="1" xfId="0" applyNumberFormat="1" applyFont="1" applyFill="1" applyBorder="1" applyAlignment="1" applyProtection="1">
      <alignment horizontal="right" indent="1"/>
      <protection locked="0"/>
    </xf>
    <xf numFmtId="2" fontId="15" fillId="2" borderId="77" xfId="0" applyNumberFormat="1" applyFont="1" applyFill="1" applyBorder="1" applyAlignment="1" applyProtection="1">
      <alignment horizontal="right" indent="1"/>
      <protection locked="0"/>
    </xf>
    <xf numFmtId="2" fontId="0" fillId="0" borderId="1" xfId="0" applyNumberFormat="1" applyBorder="1" applyAlignment="1" applyProtection="1">
      <alignment horizontal="right" indent="1"/>
      <protection locked="0"/>
    </xf>
    <xf numFmtId="2" fontId="0" fillId="0" borderId="77" xfId="0" applyNumberFormat="1" applyBorder="1" applyAlignment="1" applyProtection="1">
      <alignment horizontal="right" indent="1"/>
      <protection locked="0"/>
    </xf>
    <xf numFmtId="165" fontId="16" fillId="9" borderId="91" xfId="0" applyNumberFormat="1" applyFont="1" applyFill="1" applyBorder="1" applyAlignment="1">
      <alignment horizontal="center"/>
    </xf>
    <xf numFmtId="165" fontId="15" fillId="9" borderId="82" xfId="0" applyNumberFormat="1" applyFont="1" applyFill="1" applyBorder="1" applyAlignment="1">
      <alignment horizontal="center"/>
    </xf>
    <xf numFmtId="165" fontId="15" fillId="9" borderId="83" xfId="0" applyNumberFormat="1" applyFont="1" applyFill="1" applyBorder="1" applyAlignment="1">
      <alignment horizontal="center"/>
    </xf>
    <xf numFmtId="0" fontId="87" fillId="0" borderId="0" xfId="0" applyFont="1"/>
    <xf numFmtId="4" fontId="16" fillId="0" borderId="0" xfId="0" applyNumberFormat="1" applyFont="1"/>
    <xf numFmtId="0" fontId="10" fillId="16" borderId="1" xfId="0" applyFont="1" applyFill="1" applyBorder="1" applyAlignment="1">
      <alignment horizontal="center" vertical="center"/>
    </xf>
    <xf numFmtId="0" fontId="10" fillId="16" borderId="77" xfId="0" applyFont="1" applyFill="1" applyBorder="1" applyAlignment="1">
      <alignment horizontal="center" vertical="center"/>
    </xf>
    <xf numFmtId="0" fontId="10" fillId="16" borderId="9" xfId="0" applyFont="1" applyFill="1" applyBorder="1" applyAlignment="1">
      <alignment horizontal="center" vertical="center"/>
    </xf>
    <xf numFmtId="2" fontId="10" fillId="9" borderId="4" xfId="0" applyNumberFormat="1" applyFont="1" applyFill="1" applyBorder="1" applyAlignment="1">
      <alignment horizontal="right" indent="1"/>
    </xf>
    <xf numFmtId="2" fontId="0" fillId="9" borderId="1" xfId="0" applyNumberFormat="1" applyFill="1" applyBorder="1" applyAlignment="1">
      <alignment horizontal="right" indent="1"/>
    </xf>
    <xf numFmtId="2" fontId="0" fillId="9" borderId="77" xfId="0" applyNumberFormat="1" applyFill="1" applyBorder="1" applyAlignment="1">
      <alignment horizontal="right" indent="1"/>
    </xf>
    <xf numFmtId="2" fontId="0" fillId="2" borderId="1" xfId="0" applyNumberFormat="1" applyFill="1" applyBorder="1" applyAlignment="1" applyProtection="1">
      <alignment horizontal="right" indent="1"/>
      <protection locked="0"/>
    </xf>
    <xf numFmtId="2" fontId="0" fillId="2" borderId="77" xfId="0" applyNumberFormat="1" applyFill="1" applyBorder="1" applyAlignment="1" applyProtection="1">
      <alignment horizontal="right" indent="1"/>
      <protection locked="0"/>
    </xf>
    <xf numFmtId="165" fontId="10" fillId="9" borderId="91" xfId="0" applyNumberFormat="1" applyFont="1" applyFill="1" applyBorder="1" applyAlignment="1">
      <alignment horizontal="center"/>
    </xf>
    <xf numFmtId="165" fontId="0" fillId="9" borderId="82" xfId="0" applyNumberFormat="1" applyFill="1" applyBorder="1" applyAlignment="1">
      <alignment horizontal="center"/>
    </xf>
    <xf numFmtId="165" fontId="0" fillId="9" borderId="83" xfId="0" applyNumberFormat="1" applyFill="1" applyBorder="1" applyAlignment="1">
      <alignment horizontal="center"/>
    </xf>
    <xf numFmtId="165" fontId="10" fillId="0" borderId="0" xfId="0" applyNumberFormat="1" applyFont="1" applyAlignment="1">
      <alignment horizontal="center"/>
    </xf>
    <xf numFmtId="165" fontId="0" fillId="0" borderId="0" xfId="0" applyNumberFormat="1" applyAlignment="1">
      <alignment horizontal="center"/>
    </xf>
    <xf numFmtId="0" fontId="43" fillId="0" borderId="0" xfId="0" applyFont="1"/>
    <xf numFmtId="4" fontId="10" fillId="34" borderId="1" xfId="0" applyNumberFormat="1" applyFont="1" applyFill="1" applyBorder="1" applyAlignment="1">
      <alignment horizontal="right" vertical="center" indent="1"/>
    </xf>
    <xf numFmtId="49" fontId="10" fillId="33" borderId="1" xfId="0" applyNumberFormat="1" applyFont="1" applyFill="1" applyBorder="1" applyAlignment="1">
      <alignment vertical="center" wrapText="1"/>
    </xf>
    <xf numFmtId="2" fontId="0" fillId="0" borderId="8" xfId="0" applyNumberFormat="1" applyBorder="1" applyAlignment="1" applyProtection="1">
      <alignment horizontal="right" vertical="center" indent="2"/>
      <protection locked="0"/>
    </xf>
    <xf numFmtId="2" fontId="0" fillId="0" borderId="1" xfId="0" applyNumberFormat="1" applyBorder="1" applyAlignment="1" applyProtection="1">
      <alignment horizontal="right" vertical="center" indent="2"/>
      <protection locked="0"/>
    </xf>
    <xf numFmtId="2" fontId="0" fillId="0" borderId="2" xfId="0" applyNumberFormat="1" applyBorder="1" applyAlignment="1" applyProtection="1">
      <alignment horizontal="right" vertical="center" indent="2"/>
      <protection locked="0"/>
    </xf>
    <xf numFmtId="0" fontId="16" fillId="4" borderId="2" xfId="0" applyFont="1" applyFill="1" applyBorder="1" applyAlignment="1">
      <alignment horizontal="left"/>
    </xf>
    <xf numFmtId="0" fontId="88" fillId="5" borderId="4" xfId="0" applyFont="1" applyFill="1" applyBorder="1" applyAlignment="1">
      <alignment horizontal="left" vertical="center"/>
    </xf>
    <xf numFmtId="0" fontId="16" fillId="10" borderId="79" xfId="0" applyFont="1" applyFill="1" applyBorder="1" applyAlignment="1">
      <alignment horizontal="left"/>
    </xf>
    <xf numFmtId="4" fontId="10" fillId="10" borderId="80" xfId="0" applyNumberFormat="1" applyFont="1" applyFill="1" applyBorder="1"/>
    <xf numFmtId="0" fontId="88" fillId="5" borderId="4" xfId="0" applyFont="1" applyFill="1" applyBorder="1" applyAlignment="1">
      <alignment vertical="center"/>
    </xf>
    <xf numFmtId="0" fontId="18" fillId="23" borderId="0" xfId="0" applyFont="1" applyFill="1" applyAlignment="1">
      <alignment horizontal="left" wrapText="1"/>
    </xf>
    <xf numFmtId="0" fontId="10" fillId="23" borderId="0" xfId="0" applyFont="1" applyFill="1" applyAlignment="1">
      <alignment horizontal="right" wrapText="1" indent="1"/>
    </xf>
    <xf numFmtId="0" fontId="10" fillId="23" borderId="40" xfId="0" applyFont="1" applyFill="1" applyBorder="1" applyAlignment="1">
      <alignment horizontal="right" wrapText="1" indent="1"/>
    </xf>
    <xf numFmtId="0" fontId="0" fillId="23" borderId="20" xfId="0" applyFill="1" applyBorder="1" applyAlignment="1">
      <alignment horizontal="left" wrapText="1"/>
    </xf>
    <xf numFmtId="0" fontId="68" fillId="12" borderId="21" xfId="0" applyFont="1" applyFill="1" applyBorder="1" applyAlignment="1" applyProtection="1">
      <alignment horizontal="left" vertical="center" wrapText="1"/>
      <protection hidden="1"/>
    </xf>
    <xf numFmtId="0" fontId="23" fillId="23" borderId="70" xfId="0" applyFont="1" applyFill="1" applyBorder="1" applyAlignment="1">
      <alignment horizontal="left" vertical="center"/>
    </xf>
    <xf numFmtId="0" fontId="23" fillId="23" borderId="71" xfId="0" applyFont="1" applyFill="1" applyBorder="1" applyAlignment="1">
      <alignment horizontal="left" vertical="center"/>
    </xf>
    <xf numFmtId="0" fontId="0" fillId="8" borderId="12" xfId="0" applyFill="1" applyBorder="1" applyAlignment="1">
      <alignment horizontal="left" vertical="center"/>
    </xf>
    <xf numFmtId="0" fontId="0" fillId="8" borderId="6" xfId="0" applyFill="1" applyBorder="1" applyAlignment="1">
      <alignment horizontal="left" vertical="center"/>
    </xf>
    <xf numFmtId="0" fontId="0" fillId="8" borderId="4" xfId="0" applyFill="1" applyBorder="1" applyAlignment="1">
      <alignment horizontal="left" vertical="center"/>
    </xf>
    <xf numFmtId="0" fontId="0" fillId="8" borderId="2" xfId="0" applyFill="1" applyBorder="1" applyAlignment="1">
      <alignment horizontal="left" vertical="center"/>
    </xf>
    <xf numFmtId="0" fontId="0" fillId="0" borderId="0" xfId="0" applyAlignment="1">
      <alignment horizontal="right"/>
    </xf>
    <xf numFmtId="0" fontId="0" fillId="0" borderId="16" xfId="0" applyBorder="1" applyAlignment="1">
      <alignment horizontal="right"/>
    </xf>
    <xf numFmtId="0" fontId="10" fillId="10" borderId="4" xfId="0" applyFont="1" applyFill="1" applyBorder="1" applyAlignment="1">
      <alignment horizontal="left" vertical="center"/>
    </xf>
    <xf numFmtId="0" fontId="10" fillId="10" borderId="2" xfId="0" applyFont="1" applyFill="1" applyBorder="1" applyAlignment="1">
      <alignment horizontal="left" vertical="center"/>
    </xf>
    <xf numFmtId="0" fontId="10" fillId="7" borderId="1" xfId="0" applyFont="1" applyFill="1" applyBorder="1" applyAlignment="1">
      <alignment horizontal="center" vertical="top" wrapText="1"/>
    </xf>
    <xf numFmtId="0" fontId="10" fillId="8" borderId="22" xfId="0" applyFont="1" applyFill="1" applyBorder="1" applyAlignment="1">
      <alignment horizontal="left" vertical="top" wrapText="1"/>
    </xf>
    <xf numFmtId="0" fontId="10" fillId="8" borderId="23" xfId="0" applyFont="1" applyFill="1" applyBorder="1" applyAlignment="1">
      <alignment horizontal="left" vertical="top" wrapText="1"/>
    </xf>
    <xf numFmtId="0" fontId="23" fillId="23" borderId="21" xfId="0" applyFont="1" applyFill="1" applyBorder="1" applyAlignment="1">
      <alignment horizontal="left" vertical="center" wrapText="1"/>
    </xf>
    <xf numFmtId="0" fontId="10" fillId="7" borderId="8" xfId="0" applyFont="1" applyFill="1" applyBorder="1" applyAlignment="1">
      <alignment horizontal="center" vertical="top"/>
    </xf>
    <xf numFmtId="0" fontId="10" fillId="7" borderId="3" xfId="0" applyFont="1" applyFill="1" applyBorder="1" applyAlignment="1">
      <alignment horizontal="center" vertical="top"/>
    </xf>
    <xf numFmtId="0" fontId="10" fillId="11" borderId="1" xfId="0" applyFont="1" applyFill="1" applyBorder="1" applyAlignment="1">
      <alignment horizontal="center" vertical="top"/>
    </xf>
    <xf numFmtId="0" fontId="10" fillId="15" borderId="1" xfId="0" applyFont="1" applyFill="1" applyBorder="1" applyAlignment="1">
      <alignment horizontal="center" vertical="top"/>
    </xf>
    <xf numFmtId="0" fontId="2" fillId="11" borderId="1" xfId="0" applyFont="1" applyFill="1" applyBorder="1" applyAlignment="1">
      <alignment horizontal="center" vertical="top" wrapText="1"/>
    </xf>
    <xf numFmtId="0" fontId="35" fillId="33" borderId="0" xfId="0" applyFont="1" applyFill="1" applyAlignment="1">
      <alignment horizontal="right" vertical="center" indent="1"/>
    </xf>
    <xf numFmtId="0" fontId="10" fillId="0" borderId="0" xfId="0" applyFont="1" applyAlignment="1">
      <alignment horizontal="center" vertical="top"/>
    </xf>
    <xf numFmtId="0" fontId="10" fillId="0" borderId="0" xfId="0" applyFont="1" applyAlignment="1">
      <alignment horizontal="center" vertical="top" wrapText="1"/>
    </xf>
    <xf numFmtId="0" fontId="10" fillId="7" borderId="1" xfId="0" applyFont="1" applyFill="1" applyBorder="1" applyAlignment="1">
      <alignment horizontal="center" vertical="top"/>
    </xf>
    <xf numFmtId="0" fontId="10" fillId="11" borderId="1" xfId="0" applyFont="1" applyFill="1" applyBorder="1" applyAlignment="1">
      <alignment horizontal="center" vertical="top" wrapText="1"/>
    </xf>
    <xf numFmtId="0" fontId="13" fillId="11" borderId="1" xfId="0" applyFont="1" applyFill="1" applyBorder="1" applyAlignment="1">
      <alignment horizontal="center" vertical="center" textRotation="90"/>
    </xf>
    <xf numFmtId="0" fontId="10" fillId="11" borderId="6" xfId="0" applyFont="1" applyFill="1" applyBorder="1" applyAlignment="1">
      <alignment horizontal="center" vertical="top"/>
    </xf>
    <xf numFmtId="0" fontId="10" fillId="11" borderId="7" xfId="0" applyFont="1" applyFill="1" applyBorder="1" applyAlignment="1">
      <alignment horizontal="center" vertical="top"/>
    </xf>
    <xf numFmtId="0" fontId="10" fillId="11" borderId="5" xfId="0" applyFont="1" applyFill="1" applyBorder="1" applyAlignment="1">
      <alignment horizontal="center" vertical="top"/>
    </xf>
    <xf numFmtId="0" fontId="10" fillId="11" borderId="2" xfId="0" applyFont="1" applyFill="1" applyBorder="1" applyAlignment="1">
      <alignment horizontal="center" vertical="top"/>
    </xf>
    <xf numFmtId="0" fontId="29" fillId="11" borderId="1" xfId="0" applyFont="1" applyFill="1" applyBorder="1" applyAlignment="1">
      <alignment horizontal="center" vertical="top" wrapText="1"/>
    </xf>
    <xf numFmtId="0" fontId="10" fillId="15" borderId="4" xfId="0" applyFont="1" applyFill="1" applyBorder="1" applyAlignment="1">
      <alignment horizontal="center" vertical="top"/>
    </xf>
    <xf numFmtId="0" fontId="10" fillId="15" borderId="5" xfId="0" applyFont="1" applyFill="1" applyBorder="1" applyAlignment="1">
      <alignment horizontal="center" vertical="top"/>
    </xf>
    <xf numFmtId="0" fontId="10" fillId="15" borderId="2" xfId="0" applyFont="1" applyFill="1" applyBorder="1" applyAlignment="1">
      <alignment horizontal="center" vertical="top"/>
    </xf>
    <xf numFmtId="0" fontId="12" fillId="15" borderId="32" xfId="0" applyFont="1" applyFill="1" applyBorder="1" applyAlignment="1" applyProtection="1">
      <alignment horizontal="right"/>
      <protection hidden="1"/>
    </xf>
    <xf numFmtId="0" fontId="12" fillId="15" borderId="0" xfId="0" applyFont="1" applyFill="1" applyAlignment="1" applyProtection="1">
      <alignment horizontal="right"/>
      <protection hidden="1"/>
    </xf>
    <xf numFmtId="0" fontId="0" fillId="0" borderId="0" xfId="0" applyAlignment="1">
      <alignment horizontal="left" vertical="center"/>
    </xf>
    <xf numFmtId="0" fontId="10" fillId="12" borderId="1" xfId="0" applyFont="1" applyFill="1" applyBorder="1" applyAlignment="1">
      <alignment horizontal="center" vertical="top" wrapText="1"/>
    </xf>
    <xf numFmtId="0" fontId="10" fillId="12" borderId="1" xfId="0" applyFont="1" applyFill="1" applyBorder="1" applyAlignment="1">
      <alignment horizontal="center" vertical="top"/>
    </xf>
    <xf numFmtId="0" fontId="0" fillId="0" borderId="33" xfId="0" applyBorder="1" applyAlignment="1" applyProtection="1">
      <alignment horizontal="left" vertical="center" indent="1"/>
      <protection locked="0"/>
    </xf>
    <xf numFmtId="0" fontId="0" fillId="0" borderId="34" xfId="0" applyBorder="1" applyAlignment="1" applyProtection="1">
      <alignment horizontal="left" vertical="center" indent="1"/>
      <protection locked="0"/>
    </xf>
    <xf numFmtId="0" fontId="0" fillId="0" borderId="35" xfId="0" applyBorder="1" applyAlignment="1" applyProtection="1">
      <alignment horizontal="left" vertical="center" indent="1"/>
      <protection locked="0"/>
    </xf>
    <xf numFmtId="0" fontId="0" fillId="0" borderId="48" xfId="0" applyBorder="1" applyAlignment="1" applyProtection="1">
      <alignment horizontal="left" vertical="center" indent="1"/>
      <protection locked="0"/>
    </xf>
    <xf numFmtId="0" fontId="0" fillId="0" borderId="49" xfId="0" applyBorder="1" applyAlignment="1" applyProtection="1">
      <alignment horizontal="left" vertical="center" indent="1"/>
      <protection locked="0"/>
    </xf>
    <xf numFmtId="0" fontId="0" fillId="0" borderId="50" xfId="0" applyBorder="1" applyAlignment="1" applyProtection="1">
      <alignment horizontal="left" vertical="center" indent="1"/>
      <protection locked="0"/>
    </xf>
    <xf numFmtId="0" fontId="0" fillId="15" borderId="4" xfId="0" applyFill="1" applyBorder="1" applyAlignment="1">
      <alignment horizontal="center" vertical="top"/>
    </xf>
    <xf numFmtId="0" fontId="0" fillId="15" borderId="5" xfId="0" applyFill="1" applyBorder="1" applyAlignment="1">
      <alignment horizontal="center" vertical="top"/>
    </xf>
    <xf numFmtId="0" fontId="0" fillId="15" borderId="2" xfId="0" applyFill="1" applyBorder="1" applyAlignment="1">
      <alignment horizontal="center" vertical="top"/>
    </xf>
    <xf numFmtId="0" fontId="0" fillId="7" borderId="2" xfId="0" applyFill="1" applyBorder="1" applyAlignment="1">
      <alignment horizontal="center" vertical="top"/>
    </xf>
    <xf numFmtId="0" fontId="0" fillId="7" borderId="1" xfId="0" applyFill="1" applyBorder="1" applyAlignment="1">
      <alignment horizontal="center" vertical="top"/>
    </xf>
    <xf numFmtId="0" fontId="10" fillId="33" borderId="0" xfId="0" applyFont="1" applyFill="1" applyAlignment="1">
      <alignment horizontal="left" indent="5"/>
    </xf>
    <xf numFmtId="0" fontId="10" fillId="33" borderId="0" xfId="0" applyFont="1" applyFill="1" applyAlignment="1">
      <alignment horizontal="left" vertical="center" indent="5"/>
    </xf>
    <xf numFmtId="0" fontId="23" fillId="23" borderId="24" xfId="0" applyFont="1" applyFill="1" applyBorder="1" applyAlignment="1">
      <alignment horizontal="left" vertical="center" wrapText="1"/>
    </xf>
    <xf numFmtId="0" fontId="10" fillId="23" borderId="25" xfId="0" applyFont="1" applyFill="1" applyBorder="1" applyAlignment="1">
      <alignment horizontal="left" vertical="center" wrapText="1"/>
    </xf>
    <xf numFmtId="0" fontId="10" fillId="23" borderId="26" xfId="0" applyFont="1" applyFill="1" applyBorder="1" applyAlignment="1">
      <alignment horizontal="left" vertical="center" wrapText="1"/>
    </xf>
    <xf numFmtId="0" fontId="10" fillId="23" borderId="27" xfId="0" applyFont="1" applyFill="1" applyBorder="1" applyAlignment="1">
      <alignment horizontal="left" vertical="center" wrapText="1"/>
    </xf>
    <xf numFmtId="0" fontId="10" fillId="23" borderId="28" xfId="0" applyFont="1" applyFill="1" applyBorder="1" applyAlignment="1">
      <alignment horizontal="left" vertical="center" wrapText="1"/>
    </xf>
    <xf numFmtId="0" fontId="10" fillId="23" borderId="29" xfId="0" applyFont="1" applyFill="1" applyBorder="1" applyAlignment="1">
      <alignment horizontal="left" vertical="center" wrapText="1"/>
    </xf>
    <xf numFmtId="0" fontId="37" fillId="23" borderId="20" xfId="0" applyFont="1" applyFill="1" applyBorder="1" applyAlignment="1">
      <alignment horizontal="left"/>
    </xf>
    <xf numFmtId="0" fontId="37" fillId="23" borderId="42" xfId="0" applyFont="1" applyFill="1" applyBorder="1" applyAlignment="1">
      <alignment horizontal="left"/>
    </xf>
    <xf numFmtId="0" fontId="64" fillId="23" borderId="70" xfId="0" applyFont="1" applyFill="1" applyBorder="1" applyAlignment="1">
      <alignment horizontal="left" vertical="center" wrapText="1"/>
    </xf>
    <xf numFmtId="0" fontId="0" fillId="4" borderId="1" xfId="0" applyFill="1" applyBorder="1" applyAlignment="1">
      <alignment horizontal="left" vertical="center" wrapText="1"/>
    </xf>
    <xf numFmtId="0" fontId="12" fillId="15" borderId="20" xfId="0" applyFont="1" applyFill="1" applyBorder="1" applyAlignment="1" applyProtection="1">
      <alignment horizontal="right"/>
      <protection hidden="1"/>
    </xf>
    <xf numFmtId="0" fontId="68" fillId="13" borderId="21" xfId="0" applyFont="1" applyFill="1" applyBorder="1" applyAlignment="1" applyProtection="1">
      <alignment horizontal="left" vertical="center"/>
      <protection hidden="1"/>
    </xf>
    <xf numFmtId="0" fontId="0" fillId="34" borderId="31" xfId="0" applyFill="1" applyBorder="1" applyAlignment="1">
      <alignment horizontal="left" vertical="center" indent="1"/>
    </xf>
    <xf numFmtId="0" fontId="0" fillId="34" borderId="21" xfId="0" applyFill="1" applyBorder="1" applyAlignment="1">
      <alignment horizontal="left" vertical="center" indent="1"/>
    </xf>
    <xf numFmtId="0" fontId="68" fillId="24" borderId="21" xfId="0" applyFont="1" applyFill="1" applyBorder="1" applyAlignment="1" applyProtection="1">
      <alignment horizontal="left" vertical="center"/>
      <protection hidden="1"/>
    </xf>
    <xf numFmtId="0" fontId="13" fillId="16" borderId="9" xfId="0" applyFont="1" applyFill="1" applyBorder="1" applyAlignment="1">
      <alignment horizontal="center" vertical="center" textRotation="90"/>
    </xf>
    <xf numFmtId="0" fontId="13" fillId="16" borderId="17" xfId="0" applyFont="1" applyFill="1" applyBorder="1" applyAlignment="1">
      <alignment horizontal="center" vertical="center" textRotation="90"/>
    </xf>
    <xf numFmtId="0" fontId="13" fillId="16" borderId="3" xfId="0" applyFont="1" applyFill="1" applyBorder="1" applyAlignment="1">
      <alignment horizontal="center" vertical="center" textRotation="90"/>
    </xf>
    <xf numFmtId="0" fontId="0" fillId="34" borderId="21" xfId="0" applyFill="1" applyBorder="1" applyAlignment="1">
      <alignment horizontal="left" vertical="center"/>
    </xf>
    <xf numFmtId="0" fontId="10" fillId="7" borderId="1" xfId="0" applyFont="1" applyFill="1" applyBorder="1" applyAlignment="1">
      <alignment horizontal="center" vertical="center" wrapText="1"/>
    </xf>
    <xf numFmtId="0" fontId="10" fillId="16" borderId="1" xfId="0" applyFont="1" applyFill="1" applyBorder="1" applyAlignment="1">
      <alignment horizontal="right" vertical="center"/>
    </xf>
    <xf numFmtId="0" fontId="10" fillId="7" borderId="9" xfId="0" applyFont="1" applyFill="1" applyBorder="1" applyAlignment="1">
      <alignment horizontal="left" vertical="top" wrapText="1"/>
    </xf>
    <xf numFmtId="0" fontId="10" fillId="7" borderId="3" xfId="0" applyFont="1" applyFill="1" applyBorder="1" applyAlignment="1">
      <alignment horizontal="left" vertical="top" wrapText="1"/>
    </xf>
    <xf numFmtId="0" fontId="10" fillId="7" borderId="9" xfId="0" applyFont="1" applyFill="1" applyBorder="1" applyAlignment="1">
      <alignment horizontal="center" vertical="top" wrapText="1"/>
    </xf>
    <xf numFmtId="0" fontId="10" fillId="7" borderId="3" xfId="0" applyFont="1" applyFill="1" applyBorder="1" applyAlignment="1">
      <alignment horizontal="center" vertical="top" wrapText="1"/>
    </xf>
    <xf numFmtId="0" fontId="10" fillId="7" borderId="4" xfId="0" applyFont="1" applyFill="1" applyBorder="1" applyAlignment="1">
      <alignment horizontal="center" vertical="top"/>
    </xf>
    <xf numFmtId="0" fontId="10" fillId="7" borderId="5" xfId="0" applyFont="1" applyFill="1" applyBorder="1" applyAlignment="1">
      <alignment horizontal="center" vertical="top"/>
    </xf>
    <xf numFmtId="0" fontId="10" fillId="7" borderId="2" xfId="0" applyFont="1" applyFill="1" applyBorder="1" applyAlignment="1">
      <alignment horizontal="center" vertical="top"/>
    </xf>
    <xf numFmtId="0" fontId="10" fillId="16" borderId="4" xfId="0" applyFont="1" applyFill="1" applyBorder="1" applyAlignment="1">
      <alignment horizontal="right" vertical="center"/>
    </xf>
    <xf numFmtId="0" fontId="10" fillId="16" borderId="5" xfId="0" applyFont="1" applyFill="1" applyBorder="1" applyAlignment="1">
      <alignment horizontal="right" vertical="center"/>
    </xf>
    <xf numFmtId="0" fontId="10" fillId="16" borderId="2" xfId="0" applyFont="1" applyFill="1" applyBorder="1" applyAlignment="1">
      <alignment horizontal="right" vertical="center"/>
    </xf>
    <xf numFmtId="0" fontId="10" fillId="16" borderId="12" xfId="0" applyFont="1" applyFill="1" applyBorder="1" applyAlignment="1">
      <alignment horizontal="center" vertical="center"/>
    </xf>
    <xf numFmtId="0" fontId="10" fillId="16" borderId="13" xfId="0" applyFont="1" applyFill="1" applyBorder="1" applyAlignment="1">
      <alignment horizontal="center" vertical="center"/>
    </xf>
    <xf numFmtId="0" fontId="10" fillId="16" borderId="14" xfId="0" applyFont="1" applyFill="1" applyBorder="1" applyAlignment="1">
      <alignment horizontal="center" vertical="center"/>
    </xf>
    <xf numFmtId="0" fontId="10" fillId="16" borderId="6" xfId="0" applyFont="1" applyFill="1" applyBorder="1" applyAlignment="1">
      <alignment horizontal="center" vertical="center"/>
    </xf>
    <xf numFmtId="0" fontId="10" fillId="16" borderId="7" xfId="0" applyFont="1" applyFill="1" applyBorder="1" applyAlignment="1">
      <alignment horizontal="center" vertical="center"/>
    </xf>
    <xf numFmtId="0" fontId="10" fillId="16" borderId="8" xfId="0" applyFont="1" applyFill="1" applyBorder="1" applyAlignment="1">
      <alignment horizontal="center" vertical="center"/>
    </xf>
    <xf numFmtId="0" fontId="10" fillId="22" borderId="4" xfId="0" applyFont="1" applyFill="1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69" fillId="13" borderId="21" xfId="0" applyFont="1" applyFill="1" applyBorder="1" applyAlignment="1">
      <alignment horizontal="left" vertical="top"/>
    </xf>
    <xf numFmtId="0" fontId="18" fillId="11" borderId="0" xfId="0" applyFont="1" applyFill="1" applyAlignment="1">
      <alignment horizontal="left" vertical="center" wrapText="1"/>
    </xf>
    <xf numFmtId="0" fontId="18" fillId="11" borderId="7" xfId="0" applyFont="1" applyFill="1" applyBorder="1" applyAlignment="1">
      <alignment horizontal="left" vertical="center" wrapText="1"/>
    </xf>
    <xf numFmtId="0" fontId="69" fillId="24" borderId="21" xfId="0" applyFont="1" applyFill="1" applyBorder="1" applyAlignment="1">
      <alignment horizontal="left" vertical="top"/>
    </xf>
    <xf numFmtId="4" fontId="16" fillId="0" borderId="0" xfId="0" applyNumberFormat="1" applyFont="1" applyAlignment="1" applyProtection="1">
      <alignment horizontal="center"/>
      <protection hidden="1"/>
    </xf>
    <xf numFmtId="0" fontId="10" fillId="4" borderId="2" xfId="0" applyFont="1" applyFill="1" applyBorder="1" applyAlignment="1" applyProtection="1">
      <alignment horizontal="center" vertical="center" wrapText="1"/>
      <protection hidden="1"/>
    </xf>
    <xf numFmtId="0" fontId="10" fillId="4" borderId="1" xfId="0" applyFont="1" applyFill="1" applyBorder="1" applyAlignment="1" applyProtection="1">
      <alignment horizontal="center" vertical="center" wrapText="1"/>
      <protection hidden="1"/>
    </xf>
    <xf numFmtId="0" fontId="24" fillId="15" borderId="4" xfId="0" applyFont="1" applyFill="1" applyBorder="1" applyAlignment="1" applyProtection="1">
      <alignment horizontal="left" vertical="center" wrapText="1"/>
      <protection hidden="1"/>
    </xf>
    <xf numFmtId="0" fontId="16" fillId="3" borderId="1" xfId="0" applyFont="1" applyFill="1" applyBorder="1" applyAlignment="1" applyProtection="1">
      <alignment horizontal="center" vertical="center" wrapText="1"/>
      <protection hidden="1"/>
    </xf>
    <xf numFmtId="0" fontId="16" fillId="3" borderId="77" xfId="0" applyFont="1" applyFill="1" applyBorder="1" applyAlignment="1" applyProtection="1">
      <alignment horizontal="center" vertical="center" wrapText="1"/>
      <protection hidden="1"/>
    </xf>
    <xf numFmtId="0" fontId="16" fillId="15" borderId="76" xfId="0" applyFont="1" applyFill="1" applyBorder="1" applyAlignment="1" applyProtection="1">
      <alignment horizontal="center" vertical="top" wrapText="1"/>
      <protection hidden="1"/>
    </xf>
    <xf numFmtId="0" fontId="16" fillId="15" borderId="78" xfId="0" applyFont="1" applyFill="1" applyBorder="1" applyAlignment="1" applyProtection="1">
      <alignment horizontal="center" vertical="top" wrapText="1"/>
      <protection hidden="1"/>
    </xf>
    <xf numFmtId="0" fontId="10" fillId="15" borderId="76" xfId="0" applyFont="1" applyFill="1" applyBorder="1" applyAlignment="1" applyProtection="1">
      <alignment horizontal="center" vertical="top" wrapText="1"/>
      <protection hidden="1"/>
    </xf>
    <xf numFmtId="0" fontId="10" fillId="15" borderId="78" xfId="0" applyFont="1" applyFill="1" applyBorder="1" applyAlignment="1" applyProtection="1">
      <alignment horizontal="center" vertical="top" wrapText="1"/>
      <protection hidden="1"/>
    </xf>
    <xf numFmtId="0" fontId="10" fillId="3" borderId="1" xfId="0" applyFont="1" applyFill="1" applyBorder="1" applyAlignment="1" applyProtection="1">
      <alignment horizontal="center" vertical="center" wrapText="1"/>
      <protection hidden="1"/>
    </xf>
    <xf numFmtId="0" fontId="10" fillId="3" borderId="77" xfId="0" applyFont="1" applyFill="1" applyBorder="1" applyAlignment="1" applyProtection="1">
      <alignment horizontal="center" vertical="center" wrapText="1"/>
      <protection hidden="1"/>
    </xf>
    <xf numFmtId="4" fontId="10" fillId="0" borderId="0" xfId="0" applyNumberFormat="1" applyFont="1" applyAlignment="1" applyProtection="1">
      <alignment horizontal="center"/>
      <protection hidden="1"/>
    </xf>
    <xf numFmtId="0" fontId="32" fillId="13" borderId="73" xfId="0" applyFont="1" applyFill="1" applyBorder="1" applyAlignment="1">
      <alignment horizontal="center" vertical="center" wrapText="1"/>
    </xf>
    <xf numFmtId="0" fontId="32" fillId="13" borderId="74" xfId="0" applyFont="1" applyFill="1" applyBorder="1" applyAlignment="1">
      <alignment horizontal="center" vertical="center" wrapText="1"/>
    </xf>
    <xf numFmtId="0" fontId="32" fillId="13" borderId="75" xfId="0" applyFont="1" applyFill="1" applyBorder="1" applyAlignment="1">
      <alignment horizontal="center" vertical="center" wrapText="1"/>
    </xf>
    <xf numFmtId="0" fontId="32" fillId="24" borderId="73" xfId="0" applyFont="1" applyFill="1" applyBorder="1" applyAlignment="1">
      <alignment horizontal="center" vertical="center" wrapText="1"/>
    </xf>
    <xf numFmtId="0" fontId="32" fillId="24" borderId="74" xfId="0" applyFont="1" applyFill="1" applyBorder="1" applyAlignment="1">
      <alignment horizontal="center" vertical="center" wrapText="1"/>
    </xf>
    <xf numFmtId="0" fontId="32" fillId="24" borderId="75" xfId="0" applyFont="1" applyFill="1" applyBorder="1" applyAlignment="1">
      <alignment horizontal="center" vertical="center" wrapText="1"/>
    </xf>
    <xf numFmtId="0" fontId="23" fillId="4" borderId="2" xfId="0" applyFont="1" applyFill="1" applyBorder="1" applyAlignment="1" applyProtection="1">
      <alignment horizontal="center" vertical="center" wrapText="1"/>
      <protection hidden="1"/>
    </xf>
    <xf numFmtId="0" fontId="23" fillId="4" borderId="1" xfId="0" applyFont="1" applyFill="1" applyBorder="1" applyAlignment="1" applyProtection="1">
      <alignment horizontal="center" vertical="center" wrapText="1"/>
      <protection hidden="1"/>
    </xf>
    <xf numFmtId="0" fontId="18" fillId="0" borderId="20" xfId="0" applyFont="1" applyBorder="1" applyAlignment="1">
      <alignment horizontal="left" vertical="top" wrapText="1"/>
    </xf>
    <xf numFmtId="0" fontId="18" fillId="0" borderId="0" xfId="0" applyFont="1" applyAlignment="1">
      <alignment horizontal="left" vertical="top" wrapText="1"/>
    </xf>
    <xf numFmtId="0" fontId="0" fillId="15" borderId="11" xfId="0" applyFill="1" applyBorder="1" applyAlignment="1">
      <alignment horizontal="left" vertical="top" wrapText="1"/>
    </xf>
    <xf numFmtId="0" fontId="0" fillId="15" borderId="15" xfId="0" applyFill="1" applyBorder="1" applyAlignment="1">
      <alignment horizontal="left" vertical="top" wrapText="1"/>
    </xf>
    <xf numFmtId="0" fontId="0" fillId="15" borderId="12" xfId="0" applyFill="1" applyBorder="1" applyAlignment="1">
      <alignment horizontal="center" vertical="center" wrapText="1"/>
    </xf>
    <xf numFmtId="0" fontId="0" fillId="15" borderId="11" xfId="0" applyFill="1" applyBorder="1" applyAlignment="1">
      <alignment horizontal="center" vertical="center" wrapText="1"/>
    </xf>
    <xf numFmtId="0" fontId="0" fillId="15" borderId="6" xfId="0" applyFill="1" applyBorder="1" applyAlignment="1">
      <alignment horizontal="center" vertical="center" wrapText="1"/>
    </xf>
    <xf numFmtId="0" fontId="16" fillId="15" borderId="85" xfId="0" applyFont="1" applyFill="1" applyBorder="1" applyAlignment="1">
      <alignment horizontal="center" vertical="top" wrapText="1"/>
    </xf>
    <xf numFmtId="0" fontId="16" fillId="15" borderId="86" xfId="0" applyFont="1" applyFill="1" applyBorder="1" applyAlignment="1">
      <alignment horizontal="center" vertical="top" wrapText="1"/>
    </xf>
    <xf numFmtId="0" fontId="10" fillId="15" borderId="85" xfId="0" applyFont="1" applyFill="1" applyBorder="1" applyAlignment="1">
      <alignment horizontal="center" vertical="top" wrapText="1"/>
    </xf>
    <xf numFmtId="0" fontId="10" fillId="15" borderId="86" xfId="0" applyFont="1" applyFill="1" applyBorder="1" applyAlignment="1">
      <alignment horizontal="center" vertical="top" wrapText="1"/>
    </xf>
    <xf numFmtId="167" fontId="32" fillId="4" borderId="21" xfId="0" applyNumberFormat="1" applyFont="1" applyFill="1" applyBorder="1" applyAlignment="1" applyProtection="1">
      <alignment horizontal="center" vertical="center"/>
      <protection locked="0"/>
    </xf>
    <xf numFmtId="0" fontId="10" fillId="4" borderId="3" xfId="0" applyFont="1" applyFill="1" applyBorder="1" applyAlignment="1">
      <alignment horizontal="center" vertical="center" wrapText="1"/>
    </xf>
    <xf numFmtId="164" fontId="10" fillId="9" borderId="1" xfId="0" applyNumberFormat="1" applyFont="1" applyFill="1" applyBorder="1" applyAlignment="1">
      <alignment horizontal="left"/>
    </xf>
    <xf numFmtId="0" fontId="16" fillId="3" borderId="2" xfId="0" applyFont="1" applyFill="1" applyBorder="1" applyAlignment="1">
      <alignment horizontal="center" vertical="center"/>
    </xf>
    <xf numFmtId="0" fontId="16" fillId="3" borderId="1" xfId="0" applyFont="1" applyFill="1" applyBorder="1" applyAlignment="1">
      <alignment horizontal="center" vertical="center"/>
    </xf>
    <xf numFmtId="0" fontId="83" fillId="16" borderId="1" xfId="0" applyFont="1" applyFill="1" applyBorder="1" applyAlignment="1">
      <alignment horizontal="center" vertical="center" wrapText="1"/>
    </xf>
    <xf numFmtId="0" fontId="83" fillId="16" borderId="77" xfId="0" applyFont="1" applyFill="1" applyBorder="1" applyAlignment="1">
      <alignment horizontal="center" vertical="center" wrapText="1"/>
    </xf>
    <xf numFmtId="0" fontId="16" fillId="16" borderId="4" xfId="0" applyFont="1" applyFill="1" applyBorder="1" applyAlignment="1">
      <alignment horizontal="center" vertical="center"/>
    </xf>
    <xf numFmtId="0" fontId="16" fillId="16" borderId="5" xfId="0" applyFont="1" applyFill="1" applyBorder="1" applyAlignment="1">
      <alignment horizontal="center" vertical="center"/>
    </xf>
    <xf numFmtId="0" fontId="16" fillId="16" borderId="89" xfId="0" applyFont="1" applyFill="1" applyBorder="1" applyAlignment="1">
      <alignment horizontal="center" vertical="center"/>
    </xf>
    <xf numFmtId="0" fontId="10" fillId="3" borderId="5" xfId="0" applyFont="1" applyFill="1" applyBorder="1" applyAlignment="1">
      <alignment horizontal="center" vertical="center" wrapText="1"/>
    </xf>
    <xf numFmtId="0" fontId="10" fillId="13" borderId="74" xfId="0" applyFont="1" applyFill="1" applyBorder="1" applyAlignment="1">
      <alignment horizontal="center" vertical="center" wrapText="1"/>
    </xf>
    <xf numFmtId="0" fontId="10" fillId="13" borderId="75" xfId="0" applyFont="1" applyFill="1" applyBorder="1" applyAlignment="1">
      <alignment horizontal="center" vertical="center" wrapText="1"/>
    </xf>
    <xf numFmtId="0" fontId="10" fillId="16" borderId="9" xfId="0" applyFont="1" applyFill="1" applyBorder="1" applyAlignment="1">
      <alignment horizontal="center" vertical="center" wrapText="1"/>
    </xf>
    <xf numFmtId="0" fontId="10" fillId="16" borderId="17" xfId="0" applyFont="1" applyFill="1" applyBorder="1" applyAlignment="1">
      <alignment horizontal="center" vertical="center" wrapText="1"/>
    </xf>
    <xf numFmtId="0" fontId="16" fillId="16" borderId="1" xfId="0" applyFont="1" applyFill="1" applyBorder="1" applyAlignment="1">
      <alignment horizontal="center" vertical="center" wrapText="1"/>
    </xf>
    <xf numFmtId="0" fontId="16" fillId="16" borderId="77" xfId="0" applyFont="1" applyFill="1" applyBorder="1" applyAlignment="1">
      <alignment horizontal="center" vertical="center" wrapText="1"/>
    </xf>
    <xf numFmtId="0" fontId="10" fillId="24" borderId="92" xfId="0" applyFont="1" applyFill="1" applyBorder="1" applyAlignment="1">
      <alignment horizontal="center" vertical="center" wrapText="1"/>
    </xf>
    <xf numFmtId="0" fontId="10" fillId="24" borderId="93" xfId="0" applyFont="1" applyFill="1" applyBorder="1" applyAlignment="1">
      <alignment horizontal="center" vertical="center" wrapText="1"/>
    </xf>
    <xf numFmtId="0" fontId="10" fillId="24" borderId="94" xfId="0" applyFont="1" applyFill="1" applyBorder="1" applyAlignment="1">
      <alignment horizontal="center" vertical="center" wrapText="1"/>
    </xf>
    <xf numFmtId="0" fontId="7" fillId="10" borderId="4" xfId="0" applyFont="1" applyFill="1" applyBorder="1" applyAlignment="1">
      <alignment horizontal="left" vertical="center" wrapText="1"/>
    </xf>
    <xf numFmtId="0" fontId="16" fillId="10" borderId="4" xfId="0" applyFont="1" applyFill="1" applyBorder="1" applyAlignment="1">
      <alignment horizontal="left" vertical="center" wrapText="1"/>
    </xf>
    <xf numFmtId="0" fontId="16" fillId="3" borderId="1" xfId="0" applyFont="1" applyFill="1" applyBorder="1" applyAlignment="1">
      <alignment horizontal="center" vertical="center" wrapText="1"/>
    </xf>
    <xf numFmtId="0" fontId="10" fillId="3" borderId="14" xfId="0" applyFont="1" applyFill="1" applyBorder="1" applyAlignment="1">
      <alignment horizontal="center" vertical="center" wrapText="1"/>
    </xf>
    <xf numFmtId="0" fontId="10" fillId="3" borderId="15" xfId="0" applyFont="1" applyFill="1" applyBorder="1" applyAlignment="1">
      <alignment horizontal="center" vertical="center" wrapText="1"/>
    </xf>
    <xf numFmtId="0" fontId="16" fillId="3" borderId="4" xfId="0" applyFont="1" applyFill="1" applyBorder="1" applyAlignment="1">
      <alignment horizontal="center" vertical="center"/>
    </xf>
    <xf numFmtId="0" fontId="16" fillId="3" borderId="5" xfId="0" applyFont="1" applyFill="1" applyBorder="1" applyAlignment="1">
      <alignment horizontal="center" vertical="center"/>
    </xf>
    <xf numFmtId="0" fontId="16" fillId="10" borderId="79" xfId="0" applyFont="1" applyFill="1" applyBorder="1" applyAlignment="1">
      <alignment horizontal="center" vertical="center" wrapText="1"/>
    </xf>
    <xf numFmtId="0" fontId="10" fillId="10" borderId="79" xfId="0" applyFont="1" applyFill="1" applyBorder="1" applyAlignment="1">
      <alignment horizontal="center" vertical="center" wrapText="1"/>
    </xf>
    <xf numFmtId="0" fontId="10" fillId="16" borderId="1" xfId="0" applyFont="1" applyFill="1" applyBorder="1" applyAlignment="1">
      <alignment horizontal="center" vertical="center" wrapText="1"/>
    </xf>
    <xf numFmtId="0" fontId="10" fillId="16" borderId="77" xfId="0" applyFont="1" applyFill="1" applyBorder="1" applyAlignment="1">
      <alignment horizontal="center" vertical="center" wrapText="1"/>
    </xf>
    <xf numFmtId="0" fontId="10" fillId="16" borderId="4" xfId="0" applyFont="1" applyFill="1" applyBorder="1" applyAlignment="1">
      <alignment horizontal="center" vertical="center"/>
    </xf>
    <xf numFmtId="0" fontId="10" fillId="16" borderId="5" xfId="0" applyFont="1" applyFill="1" applyBorder="1" applyAlignment="1">
      <alignment horizontal="center" vertical="center"/>
    </xf>
    <xf numFmtId="0" fontId="10" fillId="16" borderId="89" xfId="0" applyFont="1" applyFill="1" applyBorder="1" applyAlignment="1">
      <alignment horizontal="center" vertical="center"/>
    </xf>
    <xf numFmtId="0" fontId="10" fillId="9" borderId="1" xfId="0" applyFont="1" applyFill="1" applyBorder="1" applyAlignment="1">
      <alignment horizontal="left"/>
    </xf>
    <xf numFmtId="4" fontId="10" fillId="9" borderId="1" xfId="0" applyNumberFormat="1" applyFont="1" applyFill="1" applyBorder="1" applyAlignment="1">
      <alignment horizontal="right" indent="1"/>
    </xf>
    <xf numFmtId="0" fontId="18" fillId="0" borderId="0" xfId="0" applyFont="1" applyAlignment="1">
      <alignment horizontal="left" vertical="center"/>
    </xf>
    <xf numFmtId="1" fontId="0" fillId="0" borderId="44" xfId="0" applyNumberFormat="1" applyBorder="1" applyAlignment="1">
      <alignment horizontal="center" vertical="center" wrapText="1"/>
    </xf>
    <xf numFmtId="1" fontId="0" fillId="0" borderId="46" xfId="0" applyNumberForma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4" fontId="10" fillId="0" borderId="21" xfId="0" applyNumberFormat="1" applyFont="1" applyBorder="1" applyAlignment="1">
      <alignment horizontal="right" vertical="center" indent="7"/>
    </xf>
    <xf numFmtId="0" fontId="10" fillId="4" borderId="21" xfId="0" applyFont="1" applyFill="1" applyBorder="1" applyAlignment="1">
      <alignment horizontal="center" vertical="center" wrapText="1"/>
    </xf>
    <xf numFmtId="168" fontId="0" fillId="0" borderId="6" xfId="0" applyNumberFormat="1" applyBorder="1" applyAlignment="1">
      <alignment horizontal="right" vertical="center" indent="9"/>
    </xf>
    <xf numFmtId="168" fontId="0" fillId="0" borderId="7" xfId="0" applyNumberFormat="1" applyBorder="1" applyAlignment="1">
      <alignment horizontal="right" vertical="center" indent="9"/>
    </xf>
    <xf numFmtId="168" fontId="0" fillId="0" borderId="8" xfId="0" applyNumberFormat="1" applyBorder="1" applyAlignment="1">
      <alignment horizontal="right" vertical="center" indent="9"/>
    </xf>
    <xf numFmtId="168" fontId="0" fillId="0" borderId="4" xfId="0" applyNumberFormat="1" applyBorder="1" applyAlignment="1">
      <alignment horizontal="right" vertical="center" indent="9"/>
    </xf>
    <xf numFmtId="168" fontId="0" fillId="0" borderId="5" xfId="0" applyNumberFormat="1" applyBorder="1" applyAlignment="1">
      <alignment horizontal="right" vertical="center" indent="9"/>
    </xf>
    <xf numFmtId="168" fontId="0" fillId="0" borderId="2" xfId="0" applyNumberFormat="1" applyBorder="1" applyAlignment="1">
      <alignment horizontal="right" vertical="center" indent="9"/>
    </xf>
    <xf numFmtId="168" fontId="10" fillId="0" borderId="4" xfId="0" applyNumberFormat="1" applyFont="1" applyBorder="1" applyAlignment="1">
      <alignment horizontal="right" vertical="center" indent="9"/>
    </xf>
    <xf numFmtId="168" fontId="10" fillId="0" borderId="5" xfId="0" applyNumberFormat="1" applyFont="1" applyBorder="1" applyAlignment="1">
      <alignment horizontal="right" vertical="center" indent="9"/>
    </xf>
    <xf numFmtId="168" fontId="10" fillId="0" borderId="2" xfId="0" applyNumberFormat="1" applyFont="1" applyBorder="1" applyAlignment="1">
      <alignment horizontal="right" vertical="center" indent="9"/>
    </xf>
    <xf numFmtId="0" fontId="10" fillId="4" borderId="21" xfId="0" applyFont="1" applyFill="1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30" xfId="0" applyBorder="1" applyAlignment="1">
      <alignment horizontal="left" vertical="center" wrapText="1"/>
    </xf>
    <xf numFmtId="0" fontId="0" fillId="0" borderId="59" xfId="0" applyBorder="1" applyAlignment="1">
      <alignment horizontal="left" vertical="center" wrapText="1"/>
    </xf>
    <xf numFmtId="0" fontId="0" fillId="0" borderId="60" xfId="0" applyBorder="1" applyAlignment="1">
      <alignment horizontal="left" vertical="center" wrapText="1"/>
    </xf>
    <xf numFmtId="0" fontId="10" fillId="0" borderId="0" xfId="0" applyFont="1" applyAlignment="1">
      <alignment horizontal="right" vertical="center" indent="1"/>
    </xf>
    <xf numFmtId="0" fontId="0" fillId="0" borderId="4" xfId="0" applyBorder="1" applyAlignment="1">
      <alignment horizontal="left" vertical="center" wrapText="1"/>
    </xf>
    <xf numFmtId="0" fontId="0" fillId="0" borderId="9" xfId="0" applyBorder="1" applyAlignment="1">
      <alignment horizontal="left" vertical="center" wrapText="1"/>
    </xf>
    <xf numFmtId="0" fontId="0" fillId="0" borderId="12" xfId="0" applyBorder="1" applyAlignment="1">
      <alignment horizontal="left" vertical="center" wrapText="1"/>
    </xf>
    <xf numFmtId="0" fontId="10" fillId="0" borderId="0" xfId="0" applyFont="1" applyAlignment="1">
      <alignment horizontal="left" wrapText="1"/>
    </xf>
    <xf numFmtId="0" fontId="0" fillId="0" borderId="44" xfId="0" applyBorder="1" applyAlignment="1">
      <alignment horizontal="left" vertical="center" wrapText="1"/>
    </xf>
    <xf numFmtId="0" fontId="0" fillId="0" borderId="45" xfId="0" applyBorder="1" applyAlignment="1">
      <alignment horizontal="left" vertical="center" wrapText="1"/>
    </xf>
    <xf numFmtId="0" fontId="10" fillId="0" borderId="0" xfId="0" applyFont="1" applyAlignment="1">
      <alignment horizontal="left"/>
    </xf>
    <xf numFmtId="0" fontId="10" fillId="4" borderId="41" xfId="0" applyFont="1" applyFill="1" applyBorder="1" applyAlignment="1">
      <alignment horizontal="left" vertical="top" wrapText="1"/>
    </xf>
    <xf numFmtId="0" fontId="10" fillId="4" borderId="51" xfId="0" applyFont="1" applyFill="1" applyBorder="1" applyAlignment="1">
      <alignment horizontal="left" vertical="top" wrapText="1"/>
    </xf>
    <xf numFmtId="0" fontId="10" fillId="4" borderId="32" xfId="0" applyFont="1" applyFill="1" applyBorder="1" applyAlignment="1">
      <alignment horizontal="left" vertical="top" wrapText="1"/>
    </xf>
    <xf numFmtId="0" fontId="10" fillId="4" borderId="54" xfId="0" applyFont="1" applyFill="1" applyBorder="1" applyAlignment="1">
      <alignment horizontal="left" vertical="top" wrapText="1"/>
    </xf>
    <xf numFmtId="0" fontId="10" fillId="4" borderId="55" xfId="0" applyFont="1" applyFill="1" applyBorder="1" applyAlignment="1">
      <alignment horizontal="left" vertical="top" wrapText="1"/>
    </xf>
    <xf numFmtId="0" fontId="10" fillId="4" borderId="42" xfId="0" applyFont="1" applyFill="1" applyBorder="1" applyAlignment="1">
      <alignment horizontal="left" vertical="top" wrapText="1"/>
    </xf>
    <xf numFmtId="4" fontId="0" fillId="0" borderId="66" xfId="0" applyNumberFormat="1" applyBorder="1" applyAlignment="1" applyProtection="1">
      <alignment horizontal="right" vertical="center" indent="7"/>
      <protection locked="0"/>
    </xf>
    <xf numFmtId="4" fontId="0" fillId="0" borderId="67" xfId="0" applyNumberFormat="1" applyBorder="1" applyAlignment="1" applyProtection="1">
      <alignment horizontal="right" vertical="center" indent="7"/>
      <protection locked="0"/>
    </xf>
    <xf numFmtId="168" fontId="0" fillId="0" borderId="2" xfId="0" applyNumberFormat="1" applyBorder="1" applyAlignment="1">
      <alignment horizontal="right" vertical="center" indent="1"/>
    </xf>
    <xf numFmtId="168" fontId="0" fillId="0" borderId="14" xfId="0" applyNumberFormat="1" applyBorder="1" applyAlignment="1">
      <alignment horizontal="right" vertical="center" indent="1"/>
    </xf>
    <xf numFmtId="168" fontId="0" fillId="0" borderId="1" xfId="0" applyNumberFormat="1" applyBorder="1" applyAlignment="1">
      <alignment horizontal="right" vertical="center" indent="1"/>
    </xf>
    <xf numFmtId="168" fontId="0" fillId="0" borderId="9" xfId="0" applyNumberFormat="1" applyBorder="1" applyAlignment="1">
      <alignment horizontal="right" vertical="center" indent="1"/>
    </xf>
    <xf numFmtId="0" fontId="0" fillId="0" borderId="3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10" fillId="0" borderId="30" xfId="0" applyFont="1" applyBorder="1" applyAlignment="1">
      <alignment horizontal="left" vertical="center" wrapText="1"/>
    </xf>
    <xf numFmtId="0" fontId="10" fillId="0" borderId="41" xfId="0" applyFont="1" applyBorder="1" applyAlignment="1">
      <alignment horizontal="left" vertical="center" wrapText="1"/>
    </xf>
    <xf numFmtId="0" fontId="0" fillId="8" borderId="1" xfId="0" applyFill="1" applyBorder="1" applyAlignment="1">
      <alignment horizontal="left" vertical="center" wrapText="1"/>
    </xf>
    <xf numFmtId="0" fontId="0" fillId="8" borderId="4" xfId="0" applyFill="1" applyBorder="1" applyAlignment="1">
      <alignment horizontal="left" vertical="center" wrapText="1"/>
    </xf>
    <xf numFmtId="0" fontId="10" fillId="0" borderId="3" xfId="0" applyFont="1" applyBorder="1" applyAlignment="1">
      <alignment horizontal="left" vertical="center" wrapText="1"/>
    </xf>
    <xf numFmtId="0" fontId="10" fillId="0" borderId="6" xfId="0" applyFont="1" applyBorder="1" applyAlignment="1">
      <alignment horizontal="left" vertical="center" wrapText="1"/>
    </xf>
    <xf numFmtId="0" fontId="10" fillId="0" borderId="13" xfId="0" applyFont="1" applyBorder="1" applyAlignment="1">
      <alignment horizontal="right" vertical="center" indent="1"/>
    </xf>
    <xf numFmtId="0" fontId="18" fillId="0" borderId="21" xfId="0" applyFont="1" applyBorder="1" applyAlignment="1">
      <alignment horizontal="left" vertical="center" wrapText="1"/>
    </xf>
    <xf numFmtId="0" fontId="12" fillId="0" borderId="21" xfId="0" applyFont="1" applyBorder="1" applyAlignment="1">
      <alignment horizontal="left" vertical="center" wrapText="1"/>
    </xf>
    <xf numFmtId="0" fontId="0" fillId="0" borderId="58" xfId="0" applyBorder="1" applyAlignment="1">
      <alignment horizontal="left" vertical="center" wrapText="1"/>
    </xf>
    <xf numFmtId="0" fontId="10" fillId="0" borderId="20" xfId="0" applyFont="1" applyBorder="1" applyAlignment="1">
      <alignment horizontal="left" wrapText="1"/>
    </xf>
    <xf numFmtId="0" fontId="77" fillId="0" borderId="0" xfId="0" applyFont="1" applyAlignment="1">
      <alignment horizontal="left" vertical="center" wrapText="1"/>
    </xf>
    <xf numFmtId="0" fontId="10" fillId="0" borderId="20" xfId="0" applyFont="1" applyBorder="1" applyAlignment="1">
      <alignment horizontal="left"/>
    </xf>
    <xf numFmtId="4" fontId="0" fillId="0" borderId="44" xfId="0" applyNumberFormat="1" applyBorder="1" applyAlignment="1">
      <alignment horizontal="right" vertical="center" indent="4"/>
    </xf>
    <xf numFmtId="0" fontId="0" fillId="0" borderId="22" xfId="0" applyBorder="1" applyAlignment="1">
      <alignment horizontal="left" vertical="center" wrapText="1"/>
    </xf>
    <xf numFmtId="0" fontId="0" fillId="0" borderId="56" xfId="0" applyBorder="1" applyAlignment="1">
      <alignment horizontal="left" vertical="center" wrapText="1"/>
    </xf>
    <xf numFmtId="0" fontId="0" fillId="0" borderId="5" xfId="0" applyBorder="1" applyAlignment="1">
      <alignment horizontal="left" vertical="center" wrapText="1"/>
    </xf>
    <xf numFmtId="0" fontId="10" fillId="0" borderId="4" xfId="0" applyFont="1" applyBorder="1" applyAlignment="1">
      <alignment horizontal="left" vertical="center" wrapText="1"/>
    </xf>
    <xf numFmtId="0" fontId="10" fillId="0" borderId="5" xfId="0" applyFont="1" applyBorder="1" applyAlignment="1">
      <alignment horizontal="left" vertical="center" wrapText="1"/>
    </xf>
    <xf numFmtId="0" fontId="10" fillId="4" borderId="44" xfId="0" applyFont="1" applyFill="1" applyBorder="1" applyAlignment="1">
      <alignment horizontal="center" vertical="center" wrapText="1"/>
    </xf>
    <xf numFmtId="0" fontId="10" fillId="4" borderId="45" xfId="0" applyFont="1" applyFill="1" applyBorder="1" applyAlignment="1">
      <alignment horizontal="center" vertical="center" wrapText="1"/>
    </xf>
    <xf numFmtId="0" fontId="74" fillId="0" borderId="0" xfId="0" applyFont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23" fillId="0" borderId="0" xfId="0" applyFont="1" applyAlignment="1">
      <alignment horizontal="center" vertical="center"/>
    </xf>
    <xf numFmtId="0" fontId="10" fillId="4" borderId="21" xfId="0" applyFont="1" applyFill="1" applyBorder="1" applyAlignment="1">
      <alignment horizontal="center" vertical="top" wrapText="1"/>
    </xf>
    <xf numFmtId="0" fontId="10" fillId="4" borderId="30" xfId="0" applyFont="1" applyFill="1" applyBorder="1" applyAlignment="1">
      <alignment horizontal="center" vertical="top" wrapText="1"/>
    </xf>
    <xf numFmtId="4" fontId="0" fillId="0" borderId="1" xfId="0" applyNumberFormat="1" applyBorder="1" applyAlignment="1">
      <alignment horizontal="right" vertical="center" indent="4"/>
    </xf>
    <xf numFmtId="4" fontId="0" fillId="0" borderId="31" xfId="0" applyNumberFormat="1" applyBorder="1" applyAlignment="1">
      <alignment horizontal="right" vertical="center" indent="4"/>
    </xf>
    <xf numFmtId="4" fontId="0" fillId="0" borderId="21" xfId="0" applyNumberFormat="1" applyBorder="1" applyAlignment="1">
      <alignment horizontal="right" vertical="center" indent="4"/>
    </xf>
    <xf numFmtId="0" fontId="18" fillId="0" borderId="0" xfId="0" applyFont="1" applyAlignment="1">
      <alignment horizontal="left" vertical="center" wrapText="1"/>
    </xf>
    <xf numFmtId="0" fontId="23" fillId="0" borderId="0" xfId="0" applyFont="1" applyAlignment="1">
      <alignment horizontal="right" vertical="center" indent="1"/>
    </xf>
    <xf numFmtId="0" fontId="10" fillId="0" borderId="7" xfId="0" applyFont="1" applyBorder="1" applyAlignment="1">
      <alignment horizontal="left"/>
    </xf>
    <xf numFmtId="0" fontId="10" fillId="4" borderId="41" xfId="0" applyFont="1" applyFill="1" applyBorder="1" applyAlignment="1">
      <alignment horizontal="center" vertical="top" wrapText="1"/>
    </xf>
    <xf numFmtId="0" fontId="10" fillId="4" borderId="51" xfId="0" applyFont="1" applyFill="1" applyBorder="1" applyAlignment="1">
      <alignment horizontal="center" vertical="top" wrapText="1"/>
    </xf>
    <xf numFmtId="0" fontId="10" fillId="4" borderId="32" xfId="0" applyFont="1" applyFill="1" applyBorder="1" applyAlignment="1">
      <alignment horizontal="center" vertical="top" wrapText="1"/>
    </xf>
    <xf numFmtId="0" fontId="10" fillId="4" borderId="54" xfId="0" applyFont="1" applyFill="1" applyBorder="1" applyAlignment="1">
      <alignment horizontal="center" vertical="top" wrapText="1"/>
    </xf>
    <xf numFmtId="0" fontId="10" fillId="4" borderId="62" xfId="0" applyFont="1" applyFill="1" applyBorder="1" applyAlignment="1">
      <alignment horizontal="center" vertical="top" wrapText="1"/>
    </xf>
    <xf numFmtId="0" fontId="10" fillId="4" borderId="63" xfId="0" applyFont="1" applyFill="1" applyBorder="1" applyAlignment="1">
      <alignment horizontal="center" vertical="top" wrapText="1"/>
    </xf>
    <xf numFmtId="0" fontId="10" fillId="4" borderId="41" xfId="0" applyFont="1" applyFill="1" applyBorder="1" applyAlignment="1">
      <alignment horizontal="center" vertical="center" wrapText="1"/>
    </xf>
    <xf numFmtId="0" fontId="10" fillId="4" borderId="52" xfId="0" applyFont="1" applyFill="1" applyBorder="1" applyAlignment="1">
      <alignment horizontal="center" vertical="center" wrapText="1"/>
    </xf>
    <xf numFmtId="0" fontId="0" fillId="0" borderId="57" xfId="0" applyBorder="1" applyAlignment="1">
      <alignment horizontal="left" vertical="center" wrapText="1"/>
    </xf>
    <xf numFmtId="0" fontId="0" fillId="0" borderId="21" xfId="0" applyBorder="1" applyAlignment="1">
      <alignment horizontal="center" vertical="center" wrapText="1"/>
    </xf>
    <xf numFmtId="1" fontId="0" fillId="0" borderId="21" xfId="0" applyNumberFormat="1" applyBorder="1" applyAlignment="1">
      <alignment horizontal="center" vertical="center" wrapText="1"/>
    </xf>
    <xf numFmtId="0" fontId="10" fillId="4" borderId="53" xfId="0" applyFont="1" applyFill="1" applyBorder="1" applyAlignment="1">
      <alignment horizontal="center" vertical="top" wrapText="1"/>
    </xf>
    <xf numFmtId="0" fontId="10" fillId="4" borderId="31" xfId="0" applyFont="1" applyFill="1" applyBorder="1" applyAlignment="1">
      <alignment horizontal="center" vertical="top" wrapText="1"/>
    </xf>
    <xf numFmtId="4" fontId="0" fillId="0" borderId="65" xfId="0" applyNumberFormat="1" applyBorder="1" applyAlignment="1" applyProtection="1">
      <alignment horizontal="right" vertical="center" indent="7"/>
      <protection locked="0"/>
    </xf>
    <xf numFmtId="4" fontId="0" fillId="0" borderId="58" xfId="0" applyNumberFormat="1" applyBorder="1" applyAlignment="1" applyProtection="1">
      <alignment horizontal="right" vertical="center" indent="7"/>
      <protection locked="0"/>
    </xf>
    <xf numFmtId="4" fontId="0" fillId="0" borderId="64" xfId="0" applyNumberFormat="1" applyBorder="1" applyAlignment="1" applyProtection="1">
      <alignment horizontal="right" vertical="center" indent="7"/>
      <protection locked="0"/>
    </xf>
    <xf numFmtId="4" fontId="0" fillId="0" borderId="61" xfId="0" applyNumberFormat="1" applyBorder="1" applyAlignment="1" applyProtection="1">
      <alignment horizontal="right" vertical="center" indent="7"/>
      <protection locked="0"/>
    </xf>
    <xf numFmtId="4" fontId="0" fillId="0" borderId="31" xfId="0" applyNumberFormat="1" applyBorder="1" applyAlignment="1">
      <alignment horizontal="right" vertical="center" indent="7"/>
    </xf>
    <xf numFmtId="0" fontId="0" fillId="0" borderId="0" xfId="0" applyAlignment="1">
      <alignment horizontal="center" vertical="center"/>
    </xf>
    <xf numFmtId="10" fontId="0" fillId="8" borderId="14" xfId="0" applyNumberFormat="1" applyFill="1" applyBorder="1" applyAlignment="1">
      <alignment horizontal="left" vertical="center"/>
    </xf>
    <xf numFmtId="10" fontId="0" fillId="8" borderId="8" xfId="0" applyNumberFormat="1" applyFill="1" applyBorder="1" applyAlignment="1">
      <alignment horizontal="left" vertical="center"/>
    </xf>
    <xf numFmtId="0" fontId="10" fillId="0" borderId="21" xfId="0" applyFont="1" applyBorder="1" applyAlignment="1">
      <alignment horizontal="left" vertical="center" wrapText="1"/>
    </xf>
    <xf numFmtId="2" fontId="0" fillId="8" borderId="12" xfId="0" applyNumberFormat="1" applyFill="1" applyBorder="1" applyAlignment="1">
      <alignment horizontal="right" vertical="center"/>
    </xf>
    <xf numFmtId="2" fontId="0" fillId="8" borderId="6" xfId="0" applyNumberFormat="1" applyFill="1" applyBorder="1" applyAlignment="1">
      <alignment horizontal="right" vertical="center"/>
    </xf>
    <xf numFmtId="0" fontId="0" fillId="0" borderId="0" xfId="0" applyAlignment="1">
      <alignment horizontal="right" vertical="center" indent="1"/>
    </xf>
    <xf numFmtId="0" fontId="45" fillId="28" borderId="1" xfId="0" applyFont="1" applyFill="1" applyBorder="1" applyAlignment="1">
      <alignment horizontal="center" vertical="center" wrapText="1"/>
    </xf>
    <xf numFmtId="0" fontId="10" fillId="4" borderId="4" xfId="0" applyFont="1" applyFill="1" applyBorder="1" applyAlignment="1">
      <alignment horizontal="center" vertical="center" wrapText="1"/>
    </xf>
    <xf numFmtId="0" fontId="10" fillId="4" borderId="5" xfId="0" applyFont="1" applyFill="1" applyBorder="1" applyAlignment="1">
      <alignment horizontal="center" vertical="center" wrapText="1"/>
    </xf>
    <xf numFmtId="0" fontId="56" fillId="13" borderId="1" xfId="0" applyFont="1" applyFill="1" applyBorder="1" applyAlignment="1">
      <alignment horizontal="left" vertical="center"/>
    </xf>
    <xf numFmtId="0" fontId="39" fillId="25" borderId="1" xfId="0" applyFont="1" applyFill="1" applyBorder="1" applyAlignment="1">
      <alignment horizontal="right" vertical="center" wrapText="1"/>
    </xf>
    <xf numFmtId="0" fontId="42" fillId="34" borderId="3" xfId="0" applyFont="1" applyFill="1" applyBorder="1" applyAlignment="1">
      <alignment horizontal="left" vertical="center"/>
    </xf>
    <xf numFmtId="0" fontId="0" fillId="34" borderId="3" xfId="0" applyFill="1" applyBorder="1" applyAlignment="1">
      <alignment horizontal="left" vertical="center"/>
    </xf>
    <xf numFmtId="0" fontId="39" fillId="26" borderId="1" xfId="0" applyFont="1" applyFill="1" applyBorder="1" applyAlignment="1">
      <alignment horizontal="right" vertical="center" wrapText="1"/>
    </xf>
    <xf numFmtId="0" fontId="39" fillId="27" borderId="1" xfId="0" applyFont="1" applyFill="1" applyBorder="1" applyAlignment="1">
      <alignment horizontal="right" vertical="center" wrapText="1"/>
    </xf>
    <xf numFmtId="0" fontId="37" fillId="0" borderId="5" xfId="0" applyFont="1" applyBorder="1" applyAlignment="1">
      <alignment horizontal="right" indent="3"/>
    </xf>
    <xf numFmtId="0" fontId="10" fillId="0" borderId="0" xfId="0" applyFont="1" applyAlignment="1">
      <alignment horizontal="left"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0" fillId="0" borderId="12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4" fontId="10" fillId="0" borderId="0" xfId="0" applyNumberFormat="1" applyFont="1" applyAlignment="1">
      <alignment horizontal="center" vertical="center"/>
    </xf>
    <xf numFmtId="4" fontId="0" fillId="0" borderId="17" xfId="0" applyNumberFormat="1" applyBorder="1" applyAlignment="1">
      <alignment horizontal="left" vertical="center"/>
    </xf>
    <xf numFmtId="4" fontId="0" fillId="0" borderId="21" xfId="0" applyNumberFormat="1" applyBorder="1" applyAlignment="1">
      <alignment horizontal="left" vertical="center"/>
    </xf>
    <xf numFmtId="4" fontId="25" fillId="0" borderId="0" xfId="0" applyNumberFormat="1" applyFont="1" applyAlignment="1">
      <alignment horizontal="left" vertical="top" wrapText="1"/>
    </xf>
    <xf numFmtId="0" fontId="10" fillId="4" borderId="1" xfId="0" applyFont="1" applyFill="1" applyBorder="1" applyAlignment="1">
      <alignment horizontal="right" vertical="center"/>
    </xf>
    <xf numFmtId="49" fontId="0" fillId="0" borderId="2" xfId="0" applyNumberFormat="1" applyBorder="1" applyAlignment="1">
      <alignment horizontal="left" vertical="center" wrapText="1" indent="1"/>
    </xf>
    <xf numFmtId="49" fontId="0" fillId="0" borderId="37" xfId="0" applyNumberFormat="1" applyBorder="1" applyAlignment="1">
      <alignment horizontal="left" vertical="center" wrapText="1" indent="1"/>
    </xf>
    <xf numFmtId="0" fontId="10" fillId="12" borderId="1" xfId="0" applyFont="1" applyFill="1" applyBorder="1" applyAlignment="1">
      <alignment horizontal="right" vertical="center"/>
    </xf>
    <xf numFmtId="0" fontId="10" fillId="12" borderId="4" xfId="0" applyFont="1" applyFill="1" applyBorder="1" applyAlignment="1">
      <alignment horizontal="right" vertical="center"/>
    </xf>
    <xf numFmtId="0" fontId="10" fillId="2" borderId="1" xfId="0" applyFont="1" applyFill="1" applyBorder="1" applyAlignment="1">
      <alignment horizontal="center" vertical="center" wrapText="1"/>
    </xf>
    <xf numFmtId="4" fontId="0" fillId="0" borderId="0" xfId="0" applyNumberFormat="1" applyAlignment="1">
      <alignment horizontal="left" vertical="center" wrapText="1"/>
    </xf>
    <xf numFmtId="0" fontId="50" fillId="28" borderId="9" xfId="0" applyFont="1" applyFill="1" applyBorder="1" applyAlignment="1">
      <alignment horizontal="center" vertical="top" wrapText="1"/>
    </xf>
    <xf numFmtId="0" fontId="50" fillId="28" borderId="17" xfId="0" applyFont="1" applyFill="1" applyBorder="1" applyAlignment="1">
      <alignment horizontal="center" vertical="top" wrapText="1"/>
    </xf>
    <xf numFmtId="0" fontId="50" fillId="28" borderId="3" xfId="0" applyFont="1" applyFill="1" applyBorder="1" applyAlignment="1">
      <alignment horizontal="center" vertical="top" wrapText="1"/>
    </xf>
    <xf numFmtId="0" fontId="10" fillId="0" borderId="36" xfId="0" applyFont="1" applyBorder="1" applyAlignment="1">
      <alignment horizontal="left" vertical="center" wrapText="1"/>
    </xf>
    <xf numFmtId="4" fontId="84" fillId="0" borderId="0" xfId="0" applyNumberFormat="1" applyFont="1" applyAlignment="1">
      <alignment horizontal="left" vertical="top" wrapText="1"/>
    </xf>
    <xf numFmtId="0" fontId="56" fillId="24" borderId="1" xfId="0" applyFont="1" applyFill="1" applyBorder="1" applyAlignment="1">
      <alignment horizontal="left" vertical="center"/>
    </xf>
    <xf numFmtId="4" fontId="12" fillId="0" borderId="1" xfId="0" applyNumberFormat="1" applyFont="1" applyBorder="1" applyAlignment="1">
      <alignment horizontal="center" vertical="center" wrapText="1"/>
    </xf>
    <xf numFmtId="4" fontId="18" fillId="0" borderId="1" xfId="0" applyNumberFormat="1" applyFont="1" applyBorder="1" applyAlignment="1">
      <alignment horizontal="right" indent="13"/>
    </xf>
    <xf numFmtId="4" fontId="12" fillId="0" borderId="1" xfId="0" applyNumberFormat="1" applyFont="1" applyBorder="1" applyAlignment="1">
      <alignment horizontal="right" indent="13"/>
    </xf>
    <xf numFmtId="0" fontId="37" fillId="0" borderId="13" xfId="0" applyFont="1" applyBorder="1" applyAlignment="1">
      <alignment horizontal="right"/>
    </xf>
    <xf numFmtId="0" fontId="37" fillId="0" borderId="13" xfId="0" applyFont="1" applyBorder="1" applyAlignment="1">
      <alignment horizontal="center"/>
    </xf>
    <xf numFmtId="0" fontId="32" fillId="0" borderId="0" xfId="0" applyFont="1" applyAlignment="1">
      <alignment horizontal="left" vertical="center"/>
    </xf>
    <xf numFmtId="0" fontId="10" fillId="0" borderId="9" xfId="0" applyFont="1" applyBorder="1" applyAlignment="1">
      <alignment horizontal="left" vertical="center" wrapText="1"/>
    </xf>
    <xf numFmtId="0" fontId="10" fillId="0" borderId="17" xfId="0" applyFont="1" applyBorder="1" applyAlignment="1">
      <alignment horizontal="left" vertical="center" wrapText="1"/>
    </xf>
    <xf numFmtId="0" fontId="10" fillId="0" borderId="9" xfId="0" applyFont="1" applyBorder="1" applyAlignment="1">
      <alignment horizontal="center" vertical="center" wrapText="1"/>
    </xf>
    <xf numFmtId="0" fontId="10" fillId="0" borderId="17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left" vertical="center" wrapText="1"/>
    </xf>
    <xf numFmtId="0" fontId="10" fillId="0" borderId="2" xfId="0" applyFont="1" applyBorder="1" applyAlignment="1">
      <alignment horizontal="left" vertical="center" wrapText="1"/>
    </xf>
    <xf numFmtId="0" fontId="10" fillId="0" borderId="1" xfId="0" applyFont="1" applyBorder="1" applyAlignment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166" fontId="0" fillId="0" borderId="4" xfId="0" applyNumberFormat="1" applyBorder="1" applyAlignment="1">
      <alignment horizontal="right" vertical="center" wrapText="1" indent="1"/>
    </xf>
    <xf numFmtId="166" fontId="0" fillId="0" borderId="2" xfId="0" applyNumberFormat="1" applyBorder="1" applyAlignment="1">
      <alignment horizontal="right" vertical="center" wrapText="1" indent="1"/>
    </xf>
    <xf numFmtId="4" fontId="10" fillId="0" borderId="4" xfId="0" applyNumberFormat="1" applyFont="1" applyBorder="1" applyAlignment="1">
      <alignment horizontal="right" vertical="center" wrapText="1" indent="1"/>
    </xf>
    <xf numFmtId="4" fontId="10" fillId="0" borderId="2" xfId="0" applyNumberFormat="1" applyFont="1" applyBorder="1" applyAlignment="1">
      <alignment horizontal="right" vertical="center" wrapText="1" indent="1"/>
    </xf>
    <xf numFmtId="4" fontId="0" fillId="0" borderId="1" xfId="0" applyNumberFormat="1" applyBorder="1" applyAlignment="1">
      <alignment horizontal="right" vertical="center" wrapText="1" indent="1"/>
    </xf>
    <xf numFmtId="4" fontId="10" fillId="0" borderId="1" xfId="0" applyNumberFormat="1" applyFont="1" applyBorder="1" applyAlignment="1">
      <alignment horizontal="right" vertical="center" wrapText="1" indent="1"/>
    </xf>
    <xf numFmtId="166" fontId="0" fillId="16" borderId="1" xfId="0" applyNumberFormat="1" applyFill="1" applyBorder="1" applyAlignment="1" applyProtection="1">
      <alignment horizontal="right" indent="1"/>
    </xf>
    <xf numFmtId="166" fontId="15" fillId="16" borderId="1" xfId="0" applyNumberFormat="1" applyFont="1" applyFill="1" applyBorder="1" applyAlignment="1" applyProtection="1">
      <alignment horizontal="right" indent="1"/>
    </xf>
    <xf numFmtId="166" fontId="11" fillId="16" borderId="1" xfId="0" applyNumberFormat="1" applyFont="1" applyFill="1" applyBorder="1" applyAlignment="1" applyProtection="1">
      <alignment horizontal="right" indent="1"/>
    </xf>
  </cellXfs>
  <cellStyles count="2">
    <cellStyle name="Normální" xfId="0" builtinId="0"/>
    <cellStyle name="Normální 2" xfId="1" xr:uid="{F2121AEF-25B1-408F-94F5-81F3AD23F863}"/>
  </cellStyles>
  <dxfs count="138">
    <dxf>
      <font>
        <color rgb="FF006100"/>
      </font>
      <fill>
        <patternFill>
          <bgColor rgb="FFC6EFCE"/>
        </patternFill>
      </fill>
    </dxf>
    <dxf>
      <font>
        <strike val="0"/>
        <color rgb="FF0066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strike val="0"/>
        <color rgb="FF006600"/>
      </font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  <strike val="0"/>
        <color rgb="FF006600"/>
      </font>
      <fill>
        <patternFill>
          <bgColor rgb="FF89DBB4"/>
        </patternFill>
      </fill>
    </dxf>
    <dxf>
      <font>
        <color rgb="FF006600"/>
      </font>
      <fill>
        <patternFill>
          <bgColor rgb="FF00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3300"/>
      </font>
      <fill>
        <patternFill>
          <bgColor rgb="FF33CC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b/>
        <i val="0"/>
        <strike val="0"/>
        <color rgb="FF006600"/>
      </font>
      <fill>
        <patternFill>
          <bgColor rgb="FF89DBB4"/>
        </patternFill>
      </fill>
    </dxf>
    <dxf>
      <font>
        <color rgb="FF006600"/>
      </font>
      <fill>
        <patternFill>
          <bgColor rgb="FF00FF00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3300"/>
      </font>
      <fill>
        <patternFill>
          <bgColor rgb="FF33CC33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EAEAEA"/>
      <color rgb="FFDDDDDD"/>
      <color rgb="FF99FF99"/>
      <color rgb="FFCCFF99"/>
      <color rgb="FF0000FF"/>
      <color rgb="FFFFFF99"/>
      <color rgb="FFFFFF66"/>
      <color rgb="FFCCFFCC"/>
      <color rgb="FFCCFF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684274435216329"/>
          <c:y val="1.575213736733927E-2"/>
          <c:w val="0.81301889580976894"/>
          <c:h val="0.93690555403342612"/>
        </c:manualLayout>
      </c:layout>
      <c:barChart>
        <c:barDir val="bar"/>
        <c:grouping val="stack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CEDD-42D5-8360-2053B46E50AB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CEDD-42D5-8360-2053B46E50A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baseline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'OH25'!$Q$1:$R$1</c:f>
              <c:strCache>
                <c:ptCount val="2"/>
                <c:pt idx="0">
                  <c:v>Plnění:</c:v>
                </c:pt>
                <c:pt idx="1">
                  <c:v>Potřeba:</c:v>
                </c:pt>
              </c:strCache>
            </c:strRef>
          </c:cat>
          <c:val>
            <c:numRef>
              <c:f>'OH25'!$Q$2:$R$2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EDD-42D5-8360-2053B46E50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05281152"/>
        <c:axId val="205282688"/>
      </c:barChart>
      <c:catAx>
        <c:axId val="20528115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cs-CZ"/>
          </a:p>
        </c:txPr>
        <c:crossAx val="205282688"/>
        <c:crosses val="autoZero"/>
        <c:auto val="1"/>
        <c:lblAlgn val="ctr"/>
        <c:lblOffset val="100"/>
        <c:noMultiLvlLbl val="0"/>
      </c:catAx>
      <c:valAx>
        <c:axId val="205282688"/>
        <c:scaling>
          <c:orientation val="minMax"/>
          <c:max val="1"/>
          <c:min val="0"/>
        </c:scaling>
        <c:delete val="1"/>
        <c:axPos val="b"/>
        <c:majorGridlines/>
        <c:numFmt formatCode="0%" sourceLinked="0"/>
        <c:majorTickMark val="out"/>
        <c:minorTickMark val="none"/>
        <c:tickLblPos val="nextTo"/>
        <c:crossAx val="205281152"/>
        <c:crosses val="autoZero"/>
        <c:crossBetween val="between"/>
        <c:majorUnit val="0.1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cs-CZ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3684274435216329"/>
          <c:y val="1.575213736733927E-2"/>
          <c:w val="0.81301889580976894"/>
          <c:h val="0.93690555403342612"/>
        </c:manualLayout>
      </c:layout>
      <c:barChart>
        <c:barDir val="bar"/>
        <c:grouping val="stacked"/>
        <c:varyColors val="1"/>
        <c:ser>
          <c:idx val="0"/>
          <c:order val="0"/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60000"/>
                  <a:lumOff val="40000"/>
                </a:schemeClr>
              </a:solidFill>
            </c:spPr>
            <c:extLst>
              <c:ext xmlns:c16="http://schemas.microsoft.com/office/drawing/2014/chart" uri="{C3380CC4-5D6E-409C-BE32-E72D297353CC}">
                <c16:uniqueId val="{00000001-E2A8-4D6C-8391-A862EC116264}"/>
              </c:ext>
            </c:extLst>
          </c:dPt>
          <c:dPt>
            <c:idx val="1"/>
            <c:invertIfNegative val="0"/>
            <c:bubble3D val="0"/>
            <c:spPr>
              <a:solidFill>
                <a:srgbClr val="FF0000"/>
              </a:solidFill>
            </c:spPr>
            <c:extLst>
              <c:ext xmlns:c16="http://schemas.microsoft.com/office/drawing/2014/chart" uri="{C3380CC4-5D6E-409C-BE32-E72D297353CC}">
                <c16:uniqueId val="{00000003-E2A8-4D6C-8391-A862EC11626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baseline="0">
                    <a:solidFill>
                      <a:schemeClr val="bg1"/>
                    </a:solidFill>
                  </a:defRPr>
                </a:pPr>
                <a:endParaRPr lang="cs-CZ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'OH26'!$Q$1:$R$1</c:f>
              <c:strCache>
                <c:ptCount val="2"/>
                <c:pt idx="0">
                  <c:v>Plnění:</c:v>
                </c:pt>
                <c:pt idx="1">
                  <c:v>Potřeba:</c:v>
                </c:pt>
              </c:strCache>
            </c:strRef>
          </c:cat>
          <c:val>
            <c:numRef>
              <c:f>'OH26'!$Q$2:$R$2</c:f>
              <c:numCache>
                <c:formatCode>0.0%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2A8-4D6C-8391-A862EC1162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100"/>
        <c:axId val="205281152"/>
        <c:axId val="205282688"/>
      </c:barChart>
      <c:catAx>
        <c:axId val="205281152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sz="1100" b="1"/>
            </a:pPr>
            <a:endParaRPr lang="cs-CZ"/>
          </a:p>
        </c:txPr>
        <c:crossAx val="205282688"/>
        <c:crosses val="autoZero"/>
        <c:auto val="1"/>
        <c:lblAlgn val="ctr"/>
        <c:lblOffset val="100"/>
        <c:noMultiLvlLbl val="0"/>
      </c:catAx>
      <c:valAx>
        <c:axId val="205282688"/>
        <c:scaling>
          <c:orientation val="minMax"/>
          <c:max val="1"/>
          <c:min val="0"/>
        </c:scaling>
        <c:delete val="1"/>
        <c:axPos val="b"/>
        <c:majorGridlines/>
        <c:numFmt formatCode="0%" sourceLinked="0"/>
        <c:majorTickMark val="out"/>
        <c:minorTickMark val="none"/>
        <c:tickLblPos val="nextTo"/>
        <c:crossAx val="205281152"/>
        <c:crosses val="autoZero"/>
        <c:crossBetween val="between"/>
        <c:majorUnit val="0.1"/>
      </c:valAx>
    </c:plotArea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43294</xdr:colOff>
      <xdr:row>2</xdr:row>
      <xdr:rowOff>22516</xdr:rowOff>
    </xdr:from>
    <xdr:to>
      <xdr:col>4</xdr:col>
      <xdr:colOff>0</xdr:colOff>
      <xdr:row>4</xdr:row>
      <xdr:rowOff>175847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81598F59-BBF6-4D3E-BFCB-9CDB5EE5221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43294</xdr:colOff>
      <xdr:row>2</xdr:row>
      <xdr:rowOff>22516</xdr:rowOff>
    </xdr:from>
    <xdr:to>
      <xdr:col>4</xdr:col>
      <xdr:colOff>0</xdr:colOff>
      <xdr:row>4</xdr:row>
      <xdr:rowOff>175847</xdr:rowOff>
    </xdr:to>
    <xdr:graphicFrame macro="">
      <xdr:nvGraphicFramePr>
        <xdr:cNvPr id="2" name="Graf 1">
          <a:extLst>
            <a:ext uri="{FF2B5EF4-FFF2-40B4-BE49-F238E27FC236}">
              <a16:creationId xmlns:a16="http://schemas.microsoft.com/office/drawing/2014/main" id="{CF1B51C9-DACE-443D-B0A0-CD20D89F5C6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32718-D7C2-45BF-A783-B6DBFC24A5B3}">
  <sheetPr>
    <tabColor theme="6" tint="0.39997558519241921"/>
  </sheetPr>
  <dimension ref="B1:AW84"/>
  <sheetViews>
    <sheetView showGridLines="0" showZeros="0" tabSelected="1" zoomScale="90" zoomScaleNormal="90" workbookViewId="0">
      <pane xSplit="4" ySplit="9" topLeftCell="E10" activePane="bottomRight" state="frozen"/>
      <selection pane="topRight" activeCell="E1" sqref="E1"/>
      <selection pane="bottomLeft" activeCell="A12" sqref="A12"/>
      <selection pane="bottomRight" activeCell="D3" sqref="D3"/>
    </sheetView>
  </sheetViews>
  <sheetFormatPr defaultColWidth="5.7109375" defaultRowHeight="15" x14ac:dyDescent="0.25"/>
  <cols>
    <col min="1" max="1" width="0.5703125" customWidth="1"/>
    <col min="2" max="2" width="38.42578125" customWidth="1"/>
    <col min="3" max="3" width="35.140625" customWidth="1"/>
    <col min="4" max="4" width="26.7109375" customWidth="1"/>
    <col min="5" max="5" width="13.42578125" customWidth="1"/>
    <col min="6" max="6" width="19.28515625" style="1" customWidth="1"/>
    <col min="7" max="7" width="15.7109375" style="1" customWidth="1"/>
    <col min="8" max="8" width="11.140625" customWidth="1"/>
    <col min="9" max="9" width="18.85546875" customWidth="1"/>
    <col min="10" max="10" width="6.5703125" customWidth="1"/>
    <col min="11" max="11" width="8" customWidth="1"/>
    <col min="12" max="12" width="13.140625" customWidth="1"/>
    <col min="13" max="13" width="7.7109375" customWidth="1"/>
    <col min="14" max="14" width="5.42578125" customWidth="1"/>
    <col min="15" max="15" width="11.28515625" customWidth="1"/>
    <col min="16" max="16" width="3.140625" style="21" customWidth="1"/>
    <col min="17" max="19" width="10.42578125" style="21" customWidth="1"/>
    <col min="20" max="20" width="35.7109375" customWidth="1"/>
    <col min="21" max="29" width="9" customWidth="1"/>
    <col min="30" max="30" width="2.42578125" customWidth="1"/>
    <col min="31" max="31" width="15.140625" customWidth="1"/>
    <col min="32" max="32" width="5.42578125" customWidth="1"/>
    <col min="33" max="35" width="7.5703125" customWidth="1"/>
    <col min="36" max="36" width="12.42578125" style="195" customWidth="1"/>
    <col min="37" max="37" width="5" customWidth="1"/>
    <col min="38" max="40" width="7" customWidth="1"/>
    <col min="41" max="41" width="1.7109375" customWidth="1"/>
    <col min="42" max="43" width="13.85546875" customWidth="1"/>
    <col min="44" max="44" width="1.42578125" customWidth="1"/>
    <col min="45" max="45" width="18" style="6" hidden="1" customWidth="1"/>
    <col min="46" max="54" width="5.7109375" customWidth="1"/>
  </cols>
  <sheetData>
    <row r="1" spans="2:49" ht="15" customHeight="1" thickBot="1" x14ac:dyDescent="0.3">
      <c r="B1" s="686" t="s">
        <v>458</v>
      </c>
      <c r="C1" s="686"/>
      <c r="D1" s="686"/>
      <c r="E1" s="637" t="s">
        <v>470</v>
      </c>
      <c r="F1" s="720" t="s">
        <v>604</v>
      </c>
      <c r="G1" s="721"/>
      <c r="H1" s="227">
        <f>Q80</f>
        <v>0</v>
      </c>
      <c r="I1" s="170" t="s">
        <v>2</v>
      </c>
      <c r="J1" s="227">
        <f>R80</f>
        <v>0</v>
      </c>
      <c r="K1" s="170" t="s">
        <v>261</v>
      </c>
      <c r="L1" s="227">
        <f>S80</f>
        <v>0</v>
      </c>
      <c r="M1" s="170" t="s">
        <v>260</v>
      </c>
      <c r="N1" s="277"/>
      <c r="O1" s="277"/>
      <c r="P1" s="259"/>
      <c r="Q1" s="259"/>
      <c r="R1" s="259"/>
      <c r="S1" s="259"/>
      <c r="U1" s="11"/>
      <c r="V1" s="11"/>
      <c r="W1" s="11"/>
      <c r="X1" s="11"/>
      <c r="Y1" s="11"/>
      <c r="Z1" s="11"/>
      <c r="AA1" s="11"/>
      <c r="AB1" s="11"/>
      <c r="AC1" s="11"/>
      <c r="AE1" s="11"/>
      <c r="AF1" s="11"/>
      <c r="AG1" s="11"/>
      <c r="AH1" s="11"/>
      <c r="AI1" s="11"/>
      <c r="AJ1" s="189"/>
      <c r="AK1" s="11"/>
      <c r="AL1" s="11"/>
      <c r="AM1" s="11"/>
      <c r="AN1" s="11"/>
      <c r="AP1" s="11"/>
      <c r="AQ1" s="11"/>
      <c r="AR1" s="11"/>
    </row>
    <row r="2" spans="2:49" s="3" customFormat="1" ht="15" customHeight="1" thickBot="1" x14ac:dyDescent="0.3">
      <c r="B2" s="686"/>
      <c r="C2" s="686"/>
      <c r="D2" s="686"/>
      <c r="E2" s="298"/>
      <c r="F2" s="286" t="s">
        <v>197</v>
      </c>
      <c r="G2" s="725"/>
      <c r="H2" s="726"/>
      <c r="I2" s="726"/>
      <c r="J2" s="726"/>
      <c r="K2" s="726"/>
      <c r="L2" s="726"/>
      <c r="M2" s="727"/>
      <c r="N2" s="736"/>
      <c r="O2" s="736"/>
      <c r="P2" s="706"/>
      <c r="Q2" s="706"/>
      <c r="R2" s="260"/>
      <c r="S2" s="260"/>
      <c r="U2" s="1"/>
      <c r="V2" s="1"/>
      <c r="W2" s="1"/>
      <c r="AE2" s="100"/>
      <c r="AF2" s="100"/>
      <c r="AG2" s="100"/>
      <c r="AH2" s="100"/>
      <c r="AI2" s="100"/>
      <c r="AJ2" s="190"/>
      <c r="AK2" s="100"/>
      <c r="AL2" s="100"/>
    </row>
    <row r="3" spans="2:49" s="1" customFormat="1" ht="15" customHeight="1" thickBot="1" x14ac:dyDescent="0.3">
      <c r="B3" s="687" t="s">
        <v>519</v>
      </c>
      <c r="C3" s="688"/>
      <c r="D3" s="308"/>
      <c r="E3" s="638" t="s">
        <v>346</v>
      </c>
      <c r="F3" s="229" t="s">
        <v>198</v>
      </c>
      <c r="G3" s="728"/>
      <c r="H3" s="729"/>
      <c r="I3" s="729"/>
      <c r="J3" s="729"/>
      <c r="K3" s="729"/>
      <c r="L3" s="729"/>
      <c r="M3" s="730"/>
      <c r="N3" s="737"/>
      <c r="O3" s="737"/>
      <c r="P3" s="706"/>
      <c r="Q3" s="706"/>
      <c r="R3" s="260"/>
      <c r="S3" s="260"/>
      <c r="U3" s="29"/>
      <c r="V3" s="29"/>
      <c r="W3" s="29"/>
      <c r="X3" s="29"/>
      <c r="Y3" s="29"/>
      <c r="Z3" s="29"/>
      <c r="AA3" s="29"/>
      <c r="AB3" s="29"/>
      <c r="AC3" s="29"/>
      <c r="AE3" s="100"/>
      <c r="AF3" s="100"/>
      <c r="AG3" s="100"/>
      <c r="AH3" s="100"/>
      <c r="AI3" s="100"/>
      <c r="AJ3" s="190"/>
      <c r="AK3" s="100"/>
      <c r="AL3" s="100"/>
      <c r="AM3" s="29"/>
      <c r="AN3" s="29"/>
      <c r="AP3" s="29"/>
      <c r="AQ3" s="29"/>
      <c r="AS3" s="3"/>
    </row>
    <row r="4" spans="2:49" s="1" customFormat="1" ht="15" customHeight="1" thickBot="1" x14ac:dyDescent="0.3">
      <c r="B4" s="682" t="s">
        <v>559</v>
      </c>
      <c r="C4" s="682"/>
      <c r="D4" s="682"/>
      <c r="E4" s="278"/>
      <c r="F4" s="229"/>
      <c r="G4" s="236"/>
      <c r="H4" s="264"/>
      <c r="I4" s="234"/>
      <c r="J4" s="234"/>
      <c r="K4" s="234"/>
      <c r="L4" s="234"/>
      <c r="M4" s="261"/>
      <c r="N4" s="261"/>
      <c r="O4" s="260"/>
      <c r="P4" s="260"/>
      <c r="Q4" s="260"/>
      <c r="R4" s="260"/>
      <c r="S4" s="260"/>
      <c r="U4" s="29"/>
      <c r="V4" s="29"/>
      <c r="W4" s="29"/>
      <c r="X4" s="29"/>
      <c r="Y4" s="29"/>
      <c r="Z4" s="29"/>
      <c r="AA4" s="29"/>
      <c r="AB4" s="29"/>
      <c r="AC4" s="29"/>
      <c r="AE4" s="100"/>
      <c r="AF4" s="100"/>
      <c r="AG4" s="100"/>
      <c r="AH4" s="100"/>
      <c r="AI4" s="100"/>
      <c r="AJ4" s="190"/>
      <c r="AK4" s="100"/>
      <c r="AL4" s="100"/>
      <c r="AM4" s="29"/>
      <c r="AN4" s="29"/>
      <c r="AP4" s="29"/>
      <c r="AQ4" s="29"/>
      <c r="AS4" s="3"/>
    </row>
    <row r="5" spans="2:49" s="1" customFormat="1" ht="15" customHeight="1" thickBot="1" x14ac:dyDescent="0.3">
      <c r="B5" s="683" t="s">
        <v>558</v>
      </c>
      <c r="C5" s="684"/>
      <c r="D5" s="308"/>
      <c r="E5" s="230"/>
      <c r="F5" s="231" t="s">
        <v>199</v>
      </c>
      <c r="G5" s="294">
        <v>2024</v>
      </c>
      <c r="H5" s="264" t="s">
        <v>222</v>
      </c>
      <c r="I5" s="234"/>
      <c r="J5" s="234"/>
      <c r="K5" s="234"/>
      <c r="L5" s="234"/>
      <c r="M5" s="261"/>
      <c r="N5" s="261"/>
      <c r="O5" s="260"/>
      <c r="P5" s="260"/>
      <c r="Q5" s="260"/>
      <c r="R5" s="260"/>
      <c r="S5" s="260"/>
      <c r="U5" s="29"/>
      <c r="V5" s="29"/>
      <c r="W5" s="29"/>
      <c r="X5" s="29"/>
      <c r="Y5" s="29"/>
      <c r="Z5" s="29"/>
      <c r="AA5" s="29"/>
      <c r="AB5" s="29"/>
      <c r="AC5" s="29"/>
      <c r="AE5" s="100"/>
      <c r="AF5" s="100"/>
      <c r="AG5" s="100"/>
      <c r="AH5" s="100"/>
      <c r="AI5" s="100"/>
      <c r="AJ5" s="190"/>
      <c r="AK5" s="100"/>
      <c r="AL5" s="100"/>
      <c r="AM5" s="29"/>
      <c r="AN5" s="29"/>
      <c r="AP5" s="29"/>
      <c r="AQ5" s="29"/>
      <c r="AS5" s="3"/>
    </row>
    <row r="6" spans="2:49" ht="15" customHeight="1" x14ac:dyDescent="0.25">
      <c r="B6" s="685"/>
      <c r="C6" s="685"/>
      <c r="D6" s="685"/>
      <c r="E6" s="270" t="s">
        <v>172</v>
      </c>
      <c r="F6" s="271">
        <f>D80-D3+0.000000000001</f>
        <v>9.9999999999999998E-13</v>
      </c>
      <c r="G6" s="293" t="str">
        <f>IF(D80-D3+0.000000000001=0.000000000001,"ha → plodiny doplněny, bez překryvů",IF(F6&lt;0,"ha → doplňte, prosím, hektary plodin či TTP (sloupec D)","ha → překryvy, příp. chyby ve výměře plodin"))</f>
        <v>ha → plodiny doplněny, bez překryvů</v>
      </c>
      <c r="H6" s="273"/>
      <c r="I6" s="274"/>
      <c r="J6" s="275"/>
      <c r="K6" s="275"/>
      <c r="L6" s="275"/>
      <c r="M6" s="276"/>
      <c r="N6" s="262"/>
      <c r="O6" s="262"/>
      <c r="P6" s="262"/>
      <c r="Q6" s="263"/>
      <c r="R6" s="263"/>
      <c r="S6" s="263"/>
      <c r="U6" s="707"/>
      <c r="V6" s="707"/>
      <c r="W6" s="707"/>
      <c r="X6" s="707"/>
      <c r="Y6" s="707"/>
      <c r="Z6" s="707"/>
      <c r="AA6" s="707"/>
      <c r="AB6" s="707"/>
      <c r="AC6" s="707"/>
      <c r="AE6" s="708"/>
      <c r="AF6" s="708"/>
      <c r="AG6" s="708"/>
      <c r="AH6" s="708"/>
      <c r="AI6" s="708"/>
      <c r="AJ6" s="707"/>
      <c r="AK6" s="707"/>
      <c r="AL6" s="707"/>
      <c r="AM6" s="707"/>
      <c r="AN6" s="707"/>
      <c r="AP6" s="707"/>
      <c r="AQ6" s="707"/>
      <c r="AR6" s="40"/>
    </row>
    <row r="7" spans="2:49" ht="23.1" customHeight="1" x14ac:dyDescent="0.25">
      <c r="B7" s="700" t="s">
        <v>529</v>
      </c>
      <c r="C7" s="700"/>
      <c r="D7" s="700"/>
      <c r="E7" s="701" t="s">
        <v>204</v>
      </c>
      <c r="F7" s="702"/>
      <c r="G7" s="702"/>
      <c r="H7" s="712" t="s">
        <v>167</v>
      </c>
      <c r="I7" s="713"/>
      <c r="J7" s="713"/>
      <c r="K7" s="713"/>
      <c r="L7" s="713"/>
      <c r="M7" s="713"/>
      <c r="N7" s="714"/>
      <c r="O7" s="714"/>
      <c r="P7" s="715"/>
      <c r="Q7" s="704" t="s">
        <v>267</v>
      </c>
      <c r="R7" s="704"/>
      <c r="S7" s="704"/>
      <c r="U7" s="704" t="s">
        <v>268</v>
      </c>
      <c r="V7" s="704"/>
      <c r="W7" s="704"/>
      <c r="X7" s="704"/>
      <c r="Y7" s="704"/>
      <c r="Z7" s="704"/>
      <c r="AA7" s="704"/>
      <c r="AB7" s="704"/>
      <c r="AC7" s="704"/>
      <c r="AE7" s="697" t="s">
        <v>150</v>
      </c>
      <c r="AF7" s="697"/>
      <c r="AG7" s="697"/>
      <c r="AH7" s="697"/>
      <c r="AI7" s="697"/>
      <c r="AJ7" s="703" t="s">
        <v>151</v>
      </c>
      <c r="AK7" s="703"/>
      <c r="AL7" s="703"/>
      <c r="AM7" s="703"/>
      <c r="AN7" s="703"/>
      <c r="AP7" s="724" t="s">
        <v>238</v>
      </c>
      <c r="AQ7" s="724"/>
      <c r="AR7" s="40"/>
    </row>
    <row r="8" spans="2:49" ht="23.1" customHeight="1" x14ac:dyDescent="0.25">
      <c r="B8" s="700"/>
      <c r="C8" s="700"/>
      <c r="D8" s="700"/>
      <c r="E8" s="734" t="s">
        <v>168</v>
      </c>
      <c r="F8" s="735"/>
      <c r="G8" s="735"/>
      <c r="H8" s="703" t="s">
        <v>171</v>
      </c>
      <c r="I8" s="703"/>
      <c r="J8" s="703"/>
      <c r="K8" s="703"/>
      <c r="L8" s="703"/>
      <c r="M8" s="703"/>
      <c r="N8" s="703"/>
      <c r="O8" s="710" t="s">
        <v>454</v>
      </c>
      <c r="P8" s="711" t="s">
        <v>170</v>
      </c>
      <c r="Q8" s="717" t="s">
        <v>269</v>
      </c>
      <c r="R8" s="718"/>
      <c r="S8" s="719"/>
      <c r="U8" s="731" t="s">
        <v>150</v>
      </c>
      <c r="V8" s="732"/>
      <c r="W8" s="733"/>
      <c r="X8" s="731" t="s">
        <v>151</v>
      </c>
      <c r="Y8" s="732"/>
      <c r="Z8" s="733"/>
      <c r="AA8" s="731" t="s">
        <v>175</v>
      </c>
      <c r="AB8" s="732"/>
      <c r="AC8" s="733"/>
      <c r="AE8" s="697" t="s">
        <v>130</v>
      </c>
      <c r="AF8" s="697" t="s">
        <v>60</v>
      </c>
      <c r="AG8" s="709" t="s">
        <v>273</v>
      </c>
      <c r="AH8" s="709"/>
      <c r="AI8" s="709"/>
      <c r="AJ8" s="710" t="s">
        <v>130</v>
      </c>
      <c r="AK8" s="716" t="s">
        <v>60</v>
      </c>
      <c r="AL8" s="703" t="s">
        <v>152</v>
      </c>
      <c r="AM8" s="703"/>
      <c r="AN8" s="703"/>
      <c r="AP8" s="723"/>
      <c r="AQ8" s="723"/>
      <c r="AR8" s="40"/>
    </row>
    <row r="9" spans="2:49" s="1" customFormat="1" ht="51.75" customHeight="1" x14ac:dyDescent="0.25">
      <c r="B9" s="698" t="s">
        <v>509</v>
      </c>
      <c r="C9" s="699"/>
      <c r="D9" s="161" t="s">
        <v>274</v>
      </c>
      <c r="E9" s="160" t="s">
        <v>196</v>
      </c>
      <c r="F9" s="30" t="s">
        <v>203</v>
      </c>
      <c r="G9" s="30" t="s">
        <v>149</v>
      </c>
      <c r="H9" s="41" t="s">
        <v>195</v>
      </c>
      <c r="I9" s="41" t="s">
        <v>190</v>
      </c>
      <c r="J9" s="705" t="s">
        <v>191</v>
      </c>
      <c r="K9" s="705"/>
      <c r="L9" s="41" t="s">
        <v>192</v>
      </c>
      <c r="M9" s="705" t="s">
        <v>193</v>
      </c>
      <c r="N9" s="705"/>
      <c r="O9" s="710"/>
      <c r="P9" s="711"/>
      <c r="Q9" s="164" t="s">
        <v>264</v>
      </c>
      <c r="R9" s="164" t="s">
        <v>265</v>
      </c>
      <c r="S9" s="164" t="s">
        <v>266</v>
      </c>
      <c r="U9" s="162" t="s">
        <v>235</v>
      </c>
      <c r="V9" s="162" t="s">
        <v>270</v>
      </c>
      <c r="W9" s="162" t="s">
        <v>271</v>
      </c>
      <c r="X9" s="162" t="s">
        <v>235</v>
      </c>
      <c r="Y9" s="162" t="s">
        <v>236</v>
      </c>
      <c r="Z9" s="162" t="s">
        <v>237</v>
      </c>
      <c r="AA9" s="162" t="s">
        <v>235</v>
      </c>
      <c r="AB9" s="162" t="s">
        <v>236</v>
      </c>
      <c r="AC9" s="162" t="s">
        <v>237</v>
      </c>
      <c r="AE9" s="697"/>
      <c r="AF9" s="697"/>
      <c r="AG9" s="30" t="s">
        <v>0</v>
      </c>
      <c r="AH9" s="30" t="s">
        <v>59</v>
      </c>
      <c r="AI9" s="30" t="s">
        <v>61</v>
      </c>
      <c r="AJ9" s="710"/>
      <c r="AK9" s="716"/>
      <c r="AL9" s="42" t="s">
        <v>0</v>
      </c>
      <c r="AM9" s="42" t="s">
        <v>59</v>
      </c>
      <c r="AN9" s="42" t="s">
        <v>61</v>
      </c>
      <c r="AP9" s="43" t="s">
        <v>2</v>
      </c>
      <c r="AQ9" s="43" t="s">
        <v>176</v>
      </c>
      <c r="AR9" s="44"/>
      <c r="AS9" s="3"/>
    </row>
    <row r="10" spans="2:49" s="5" customFormat="1" ht="14.25" customHeight="1" x14ac:dyDescent="0.25">
      <c r="B10" s="689" t="s">
        <v>433</v>
      </c>
      <c r="C10" s="31" t="s">
        <v>180</v>
      </c>
      <c r="D10" s="10"/>
      <c r="E10" s="10"/>
      <c r="F10" s="45">
        <f t="shared" ref="F10:F73" si="0">IF(D10=0,0,E10/D10)</f>
        <v>0</v>
      </c>
      <c r="G10" s="10"/>
      <c r="H10" s="9"/>
      <c r="I10" s="46">
        <f>IF(L10=0,IF(F10=0,G10*K10*H10,F10*K10*H10),0)</f>
        <v>0</v>
      </c>
      <c r="J10" s="47" t="s">
        <v>169</v>
      </c>
      <c r="K10" s="48">
        <v>0.9</v>
      </c>
      <c r="L10" s="9"/>
      <c r="M10" s="47" t="s">
        <v>272</v>
      </c>
      <c r="N10" s="48" t="str">
        <f>IF(H10=0,"",IF(F10+G10=0,"",IF(L10=0,0,IF(G10=0,(L10/H10)/F10,(L10/H10)/G10))))</f>
        <v/>
      </c>
      <c r="O10" s="49">
        <f>D10-H10</f>
        <v>0</v>
      </c>
      <c r="P10" s="50" t="str">
        <f t="shared" ref="P10:P19" si="1">IF(O10&lt;0,"!",IF(AS10=TRUE,"!",""))</f>
        <v/>
      </c>
      <c r="Q10" s="165">
        <f>IF($D10=0,0,AA10/$D10)</f>
        <v>0</v>
      </c>
      <c r="R10" s="165">
        <f>IF($D10=0,0,AB10/$D10)</f>
        <v>0</v>
      </c>
      <c r="S10" s="165">
        <f>IF($D10=0,0,AC10/$D10)</f>
        <v>0</v>
      </c>
      <c r="U10" s="163">
        <f t="shared" ref="U10:U40" si="2">IF($G10=0,$F10*$D10*AG10,$G10*$D10*AG10)</f>
        <v>0</v>
      </c>
      <c r="V10" s="163">
        <f t="shared" ref="V10:V40" si="3">IF($G10=0,$F10*$D10*AH10,$G10*$D10*AH10)</f>
        <v>0</v>
      </c>
      <c r="W10" s="163">
        <f t="shared" ref="W10:W40" si="4">IF($G10=0,$F10*$D10*AI10,$G10*$D10*AI10)</f>
        <v>0</v>
      </c>
      <c r="X10" s="163">
        <f t="shared" ref="X10:X40" si="5">IF($L10=0,$I10*AL10,$L10*AL10)</f>
        <v>0</v>
      </c>
      <c r="Y10" s="163">
        <f t="shared" ref="Y10:Y40" si="6">IF($L10=0,$I10*AM10,$L10*AM10)</f>
        <v>0</v>
      </c>
      <c r="Z10" s="163">
        <f t="shared" ref="Z10:Z40" si="7">IF($L10=0,$I10*AN10,$L10*AN10)</f>
        <v>0</v>
      </c>
      <c r="AA10" s="163">
        <f>U10+X10</f>
        <v>0</v>
      </c>
      <c r="AB10" s="163">
        <f>V10+Y10</f>
        <v>0</v>
      </c>
      <c r="AC10" s="163">
        <f>W10+Z10</f>
        <v>0</v>
      </c>
      <c r="AE10" s="51" t="s">
        <v>137</v>
      </c>
      <c r="AF10" s="32">
        <v>0.86</v>
      </c>
      <c r="AG10" s="33">
        <v>20.399999999999999</v>
      </c>
      <c r="AH10" s="33">
        <v>2.9</v>
      </c>
      <c r="AI10" s="33">
        <v>3.5</v>
      </c>
      <c r="AJ10" s="191" t="s">
        <v>131</v>
      </c>
      <c r="AK10" s="52">
        <v>0.91</v>
      </c>
      <c r="AL10" s="53">
        <v>4.7</v>
      </c>
      <c r="AM10" s="53">
        <v>0.6</v>
      </c>
      <c r="AN10" s="53">
        <v>11.1</v>
      </c>
      <c r="AP10" s="54"/>
      <c r="AQ10" s="54"/>
      <c r="AS10" s="39" t="b">
        <f t="shared" ref="AS10:AS40" si="8">AND(H10=0,L10&gt;0)</f>
        <v>0</v>
      </c>
      <c r="AU10" s="152">
        <f>Q10-'P25'!Q10</f>
        <v>0</v>
      </c>
      <c r="AV10" s="152">
        <f>R10-'P25'!R10</f>
        <v>0</v>
      </c>
      <c r="AW10" s="152">
        <f>S10-'P25'!S10</f>
        <v>0</v>
      </c>
    </row>
    <row r="11" spans="2:49" s="5" customFormat="1" ht="14.25" customHeight="1" x14ac:dyDescent="0.25">
      <c r="B11" s="690"/>
      <c r="C11" s="31" t="s">
        <v>181</v>
      </c>
      <c r="D11" s="10"/>
      <c r="E11" s="10"/>
      <c r="F11" s="45">
        <f t="shared" si="0"/>
        <v>0</v>
      </c>
      <c r="G11" s="10"/>
      <c r="H11" s="9"/>
      <c r="I11" s="46">
        <f t="shared" ref="I11:I26" si="9">IF(L11=0,IF(F11=0,G11*K11*H11,F11*K11*H11),0)</f>
        <v>0</v>
      </c>
      <c r="J11" s="47" t="s">
        <v>169</v>
      </c>
      <c r="K11" s="48">
        <f>0.9</f>
        <v>0.9</v>
      </c>
      <c r="L11" s="9"/>
      <c r="M11" s="47" t="s">
        <v>272</v>
      </c>
      <c r="N11" s="48" t="str">
        <f t="shared" ref="N11:N26" si="10">IF(H11=0,"",IF(F11+G11=0,"",IF(L11=0,0,IF(G11=0,(L11/H11)/F11,(L11/H11)/G11))))</f>
        <v/>
      </c>
      <c r="O11" s="49">
        <f t="shared" ref="O11:O26" si="11">D11-H11</f>
        <v>0</v>
      </c>
      <c r="P11" s="50" t="str">
        <f t="shared" si="1"/>
        <v/>
      </c>
      <c r="Q11" s="165">
        <f t="shared" ref="Q11:Q72" si="12">IF($D11=0,0,AA11/$D11)</f>
        <v>0</v>
      </c>
      <c r="R11" s="165">
        <f t="shared" ref="R11:R72" si="13">IF($D11=0,0,AB11/$D11)</f>
        <v>0</v>
      </c>
      <c r="S11" s="165">
        <f t="shared" ref="S11:S72" si="14">IF($D11=0,0,AC11/$D11)</f>
        <v>0</v>
      </c>
      <c r="U11" s="163">
        <f t="shared" si="2"/>
        <v>0</v>
      </c>
      <c r="V11" s="163">
        <f t="shared" si="3"/>
        <v>0</v>
      </c>
      <c r="W11" s="163">
        <f t="shared" si="4"/>
        <v>0</v>
      </c>
      <c r="X11" s="163">
        <f t="shared" si="5"/>
        <v>0</v>
      </c>
      <c r="Y11" s="163">
        <f t="shared" si="6"/>
        <v>0</v>
      </c>
      <c r="Z11" s="163">
        <f t="shared" si="7"/>
        <v>0</v>
      </c>
      <c r="AA11" s="163">
        <f t="shared" ref="AA11:AA74" si="15">U11+X11</f>
        <v>0</v>
      </c>
      <c r="AB11" s="163">
        <f t="shared" ref="AB11:AB74" si="16">V11+Y11</f>
        <v>0</v>
      </c>
      <c r="AC11" s="163">
        <f t="shared" ref="AC11:AC74" si="17">W11+Z11</f>
        <v>0</v>
      </c>
      <c r="AE11" s="51" t="s">
        <v>137</v>
      </c>
      <c r="AF11" s="55">
        <v>0.86</v>
      </c>
      <c r="AG11" s="33">
        <v>17.8</v>
      </c>
      <c r="AH11" s="33">
        <v>2.9</v>
      </c>
      <c r="AI11" s="33">
        <v>3.5</v>
      </c>
      <c r="AJ11" s="191" t="s">
        <v>131</v>
      </c>
      <c r="AK11" s="56">
        <v>0.91</v>
      </c>
      <c r="AL11" s="53">
        <v>4.7</v>
      </c>
      <c r="AM11" s="53">
        <v>0.6</v>
      </c>
      <c r="AN11" s="53">
        <v>11.1</v>
      </c>
      <c r="AP11" s="54"/>
      <c r="AQ11" s="54"/>
      <c r="AS11" s="39" t="b">
        <f t="shared" si="8"/>
        <v>0</v>
      </c>
      <c r="AU11" s="152">
        <f>Q11-'P25'!Q11</f>
        <v>0</v>
      </c>
      <c r="AV11" s="152">
        <f>R11-'P25'!R11</f>
        <v>0</v>
      </c>
      <c r="AW11" s="152">
        <f>S11-'P25'!S11</f>
        <v>0</v>
      </c>
    </row>
    <row r="12" spans="2:49" s="5" customFormat="1" ht="14.25" customHeight="1" x14ac:dyDescent="0.25">
      <c r="B12" s="158" t="s">
        <v>434</v>
      </c>
      <c r="C12" s="34"/>
      <c r="D12" s="10"/>
      <c r="E12" s="10"/>
      <c r="F12" s="45">
        <f t="shared" si="0"/>
        <v>0</v>
      </c>
      <c r="G12" s="10"/>
      <c r="H12" s="9"/>
      <c r="I12" s="46">
        <f t="shared" si="9"/>
        <v>0</v>
      </c>
      <c r="J12" s="47" t="s">
        <v>169</v>
      </c>
      <c r="K12" s="48">
        <f>0.9</f>
        <v>0.9</v>
      </c>
      <c r="L12" s="9"/>
      <c r="M12" s="47" t="s">
        <v>272</v>
      </c>
      <c r="N12" s="48" t="str">
        <f t="shared" si="10"/>
        <v/>
      </c>
      <c r="O12" s="49">
        <f t="shared" si="11"/>
        <v>0</v>
      </c>
      <c r="P12" s="50" t="str">
        <f t="shared" si="1"/>
        <v/>
      </c>
      <c r="Q12" s="165">
        <f t="shared" si="12"/>
        <v>0</v>
      </c>
      <c r="R12" s="165">
        <f t="shared" si="13"/>
        <v>0</v>
      </c>
      <c r="S12" s="165">
        <f t="shared" si="14"/>
        <v>0</v>
      </c>
      <c r="U12" s="163">
        <f t="shared" si="2"/>
        <v>0</v>
      </c>
      <c r="V12" s="163">
        <f t="shared" si="3"/>
        <v>0</v>
      </c>
      <c r="W12" s="163">
        <f t="shared" si="4"/>
        <v>0</v>
      </c>
      <c r="X12" s="163">
        <f t="shared" si="5"/>
        <v>0</v>
      </c>
      <c r="Y12" s="163">
        <f t="shared" si="6"/>
        <v>0</v>
      </c>
      <c r="Z12" s="163">
        <f t="shared" si="7"/>
        <v>0</v>
      </c>
      <c r="AA12" s="163">
        <f t="shared" si="15"/>
        <v>0</v>
      </c>
      <c r="AB12" s="163">
        <f t="shared" si="16"/>
        <v>0</v>
      </c>
      <c r="AC12" s="163">
        <f t="shared" si="17"/>
        <v>0</v>
      </c>
      <c r="AE12" s="51" t="s">
        <v>137</v>
      </c>
      <c r="AF12" s="55">
        <v>0.86</v>
      </c>
      <c r="AG12" s="33">
        <v>18.100000000000001</v>
      </c>
      <c r="AH12" s="33">
        <v>3</v>
      </c>
      <c r="AI12" s="33">
        <v>3.7</v>
      </c>
      <c r="AJ12" s="191" t="s">
        <v>131</v>
      </c>
      <c r="AK12" s="56">
        <v>0.91</v>
      </c>
      <c r="AL12" s="53">
        <v>4.5</v>
      </c>
      <c r="AM12" s="53">
        <v>0.7</v>
      </c>
      <c r="AN12" s="53">
        <v>11.6</v>
      </c>
      <c r="AP12" s="54"/>
      <c r="AQ12" s="54"/>
      <c r="AS12" s="39" t="b">
        <f t="shared" si="8"/>
        <v>0</v>
      </c>
      <c r="AU12" s="152">
        <f>Q12-'P25'!Q12</f>
        <v>0</v>
      </c>
      <c r="AV12" s="152">
        <f>R12-'P25'!R12</f>
        <v>0</v>
      </c>
      <c r="AW12" s="152">
        <f>S12-'P25'!S12</f>
        <v>0</v>
      </c>
    </row>
    <row r="13" spans="2:49" s="5" customFormat="1" ht="14.25" customHeight="1" x14ac:dyDescent="0.25">
      <c r="B13" s="158" t="s">
        <v>87</v>
      </c>
      <c r="C13" s="34"/>
      <c r="D13" s="10"/>
      <c r="E13" s="10"/>
      <c r="F13" s="45">
        <f t="shared" si="0"/>
        <v>0</v>
      </c>
      <c r="G13" s="10"/>
      <c r="H13" s="9"/>
      <c r="I13" s="46">
        <f t="shared" si="9"/>
        <v>0</v>
      </c>
      <c r="J13" s="47" t="s">
        <v>169</v>
      </c>
      <c r="K13" s="48">
        <f>1</f>
        <v>1</v>
      </c>
      <c r="L13" s="9"/>
      <c r="M13" s="47" t="s">
        <v>272</v>
      </c>
      <c r="N13" s="48" t="str">
        <f t="shared" si="10"/>
        <v/>
      </c>
      <c r="O13" s="49">
        <f t="shared" si="11"/>
        <v>0</v>
      </c>
      <c r="P13" s="50" t="str">
        <f t="shared" si="1"/>
        <v/>
      </c>
      <c r="Q13" s="165">
        <f t="shared" si="12"/>
        <v>0</v>
      </c>
      <c r="R13" s="165">
        <f t="shared" si="13"/>
        <v>0</v>
      </c>
      <c r="S13" s="165">
        <f t="shared" si="14"/>
        <v>0</v>
      </c>
      <c r="U13" s="163">
        <f t="shared" si="2"/>
        <v>0</v>
      </c>
      <c r="V13" s="163">
        <f t="shared" si="3"/>
        <v>0</v>
      </c>
      <c r="W13" s="163">
        <f t="shared" si="4"/>
        <v>0</v>
      </c>
      <c r="X13" s="163">
        <f t="shared" si="5"/>
        <v>0</v>
      </c>
      <c r="Y13" s="163">
        <f t="shared" si="6"/>
        <v>0</v>
      </c>
      <c r="Z13" s="163">
        <f t="shared" si="7"/>
        <v>0</v>
      </c>
      <c r="AA13" s="163">
        <f t="shared" si="15"/>
        <v>0</v>
      </c>
      <c r="AB13" s="163">
        <f t="shared" si="16"/>
        <v>0</v>
      </c>
      <c r="AC13" s="163">
        <f t="shared" si="17"/>
        <v>0</v>
      </c>
      <c r="AE13" s="51" t="s">
        <v>137</v>
      </c>
      <c r="AF13" s="55">
        <v>0.86</v>
      </c>
      <c r="AG13" s="33">
        <v>16.2</v>
      </c>
      <c r="AH13" s="33">
        <v>3.5</v>
      </c>
      <c r="AI13" s="33">
        <v>5.0999999999999996</v>
      </c>
      <c r="AJ13" s="191" t="s">
        <v>131</v>
      </c>
      <c r="AK13" s="56">
        <v>0.91</v>
      </c>
      <c r="AL13" s="53">
        <v>4.5</v>
      </c>
      <c r="AM13" s="53">
        <v>1.1000000000000001</v>
      </c>
      <c r="AN13" s="53">
        <v>10.7</v>
      </c>
      <c r="AP13" s="54"/>
      <c r="AQ13" s="54"/>
      <c r="AS13" s="39" t="b">
        <f t="shared" si="8"/>
        <v>0</v>
      </c>
      <c r="AU13" s="152">
        <f>Q13-'P25'!Q13</f>
        <v>0</v>
      </c>
      <c r="AV13" s="152">
        <f>R13-'P25'!R13</f>
        <v>0</v>
      </c>
      <c r="AW13" s="152">
        <f>S13-'P25'!S13</f>
        <v>0</v>
      </c>
    </row>
    <row r="14" spans="2:49" s="5" customFormat="1" ht="14.25" customHeight="1" x14ac:dyDescent="0.25">
      <c r="B14" s="158" t="s">
        <v>80</v>
      </c>
      <c r="C14" s="34"/>
      <c r="D14" s="10"/>
      <c r="E14" s="10"/>
      <c r="F14" s="45">
        <f t="shared" si="0"/>
        <v>0</v>
      </c>
      <c r="G14" s="10"/>
      <c r="H14" s="9"/>
      <c r="I14" s="46">
        <f t="shared" si="9"/>
        <v>0</v>
      </c>
      <c r="J14" s="47" t="s">
        <v>169</v>
      </c>
      <c r="K14" s="48">
        <f>0.7</f>
        <v>0.7</v>
      </c>
      <c r="L14" s="9"/>
      <c r="M14" s="47" t="s">
        <v>272</v>
      </c>
      <c r="N14" s="48" t="str">
        <f t="shared" si="10"/>
        <v/>
      </c>
      <c r="O14" s="49">
        <f t="shared" si="11"/>
        <v>0</v>
      </c>
      <c r="P14" s="50" t="str">
        <f t="shared" si="1"/>
        <v/>
      </c>
      <c r="Q14" s="165">
        <f t="shared" si="12"/>
        <v>0</v>
      </c>
      <c r="R14" s="165">
        <f t="shared" si="13"/>
        <v>0</v>
      </c>
      <c r="S14" s="165">
        <f t="shared" si="14"/>
        <v>0</v>
      </c>
      <c r="U14" s="163">
        <f t="shared" si="2"/>
        <v>0</v>
      </c>
      <c r="V14" s="163">
        <f t="shared" si="3"/>
        <v>0</v>
      </c>
      <c r="W14" s="163">
        <f t="shared" si="4"/>
        <v>0</v>
      </c>
      <c r="X14" s="163">
        <f t="shared" si="5"/>
        <v>0</v>
      </c>
      <c r="Y14" s="163">
        <f t="shared" si="6"/>
        <v>0</v>
      </c>
      <c r="Z14" s="163">
        <f t="shared" si="7"/>
        <v>0</v>
      </c>
      <c r="AA14" s="163">
        <f t="shared" si="15"/>
        <v>0</v>
      </c>
      <c r="AB14" s="163">
        <f t="shared" si="16"/>
        <v>0</v>
      </c>
      <c r="AC14" s="163">
        <f t="shared" si="17"/>
        <v>0</v>
      </c>
      <c r="AE14" s="51" t="s">
        <v>137</v>
      </c>
      <c r="AF14" s="55">
        <v>0.86</v>
      </c>
      <c r="AG14" s="33">
        <v>17.2</v>
      </c>
      <c r="AH14" s="33">
        <v>3.4</v>
      </c>
      <c r="AI14" s="33">
        <v>5.0999999999999996</v>
      </c>
      <c r="AJ14" s="191" t="s">
        <v>131</v>
      </c>
      <c r="AK14" s="56">
        <v>0.91</v>
      </c>
      <c r="AL14" s="53">
        <v>5.9</v>
      </c>
      <c r="AM14" s="53">
        <v>1</v>
      </c>
      <c r="AN14" s="53">
        <v>11.7</v>
      </c>
      <c r="AP14" s="54"/>
      <c r="AQ14" s="54"/>
      <c r="AS14" s="39" t="b">
        <f t="shared" si="8"/>
        <v>0</v>
      </c>
      <c r="AU14" s="152">
        <f>Q14-'P25'!Q14</f>
        <v>0</v>
      </c>
      <c r="AV14" s="152">
        <f>R14-'P25'!R14</f>
        <v>0</v>
      </c>
      <c r="AW14" s="152">
        <f>S14-'P25'!S14</f>
        <v>0</v>
      </c>
    </row>
    <row r="15" spans="2:49" s="5" customFormat="1" ht="14.25" customHeight="1" x14ac:dyDescent="0.25">
      <c r="B15" s="689" t="s">
        <v>183</v>
      </c>
      <c r="C15" s="31" t="s">
        <v>178</v>
      </c>
      <c r="D15" s="10"/>
      <c r="E15" s="10"/>
      <c r="F15" s="45">
        <f t="shared" si="0"/>
        <v>0</v>
      </c>
      <c r="G15" s="10"/>
      <c r="H15" s="9"/>
      <c r="I15" s="46">
        <f t="shared" si="9"/>
        <v>0</v>
      </c>
      <c r="J15" s="47" t="s">
        <v>169</v>
      </c>
      <c r="K15" s="48">
        <f>0.6</f>
        <v>0.6</v>
      </c>
      <c r="L15" s="9"/>
      <c r="M15" s="47" t="s">
        <v>272</v>
      </c>
      <c r="N15" s="48" t="str">
        <f t="shared" si="10"/>
        <v/>
      </c>
      <c r="O15" s="49">
        <f t="shared" si="11"/>
        <v>0</v>
      </c>
      <c r="P15" s="50" t="str">
        <f t="shared" si="1"/>
        <v/>
      </c>
      <c r="Q15" s="165">
        <f t="shared" si="12"/>
        <v>0</v>
      </c>
      <c r="R15" s="165">
        <f t="shared" si="13"/>
        <v>0</v>
      </c>
      <c r="S15" s="165">
        <f t="shared" si="14"/>
        <v>0</v>
      </c>
      <c r="U15" s="163">
        <f t="shared" si="2"/>
        <v>0</v>
      </c>
      <c r="V15" s="163">
        <f t="shared" si="3"/>
        <v>0</v>
      </c>
      <c r="W15" s="163">
        <f t="shared" si="4"/>
        <v>0</v>
      </c>
      <c r="X15" s="163">
        <f t="shared" si="5"/>
        <v>0</v>
      </c>
      <c r="Y15" s="163">
        <f t="shared" si="6"/>
        <v>0</v>
      </c>
      <c r="Z15" s="163">
        <f t="shared" si="7"/>
        <v>0</v>
      </c>
      <c r="AA15" s="163">
        <f t="shared" si="15"/>
        <v>0</v>
      </c>
      <c r="AB15" s="163">
        <f t="shared" si="16"/>
        <v>0</v>
      </c>
      <c r="AC15" s="163">
        <f t="shared" si="17"/>
        <v>0</v>
      </c>
      <c r="AE15" s="51" t="s">
        <v>137</v>
      </c>
      <c r="AF15" s="55">
        <v>0.86</v>
      </c>
      <c r="AG15" s="33">
        <v>15.1</v>
      </c>
      <c r="AH15" s="33">
        <v>2.8</v>
      </c>
      <c r="AI15" s="33">
        <v>3.9</v>
      </c>
      <c r="AJ15" s="191" t="s">
        <v>131</v>
      </c>
      <c r="AK15" s="56">
        <v>0.91</v>
      </c>
      <c r="AL15" s="53">
        <v>5.9</v>
      </c>
      <c r="AM15" s="53">
        <v>0.8</v>
      </c>
      <c r="AN15" s="53">
        <v>13.7</v>
      </c>
      <c r="AP15" s="54"/>
      <c r="AQ15" s="54"/>
      <c r="AS15" s="39" t="b">
        <f t="shared" si="8"/>
        <v>0</v>
      </c>
      <c r="AU15" s="152">
        <f>Q15-'P25'!Q15</f>
        <v>0</v>
      </c>
      <c r="AV15" s="152">
        <f>R15-'P25'!R15</f>
        <v>0</v>
      </c>
      <c r="AW15" s="152">
        <f>S15-'P25'!S15</f>
        <v>0</v>
      </c>
    </row>
    <row r="16" spans="2:49" s="5" customFormat="1" ht="14.25" customHeight="1" x14ac:dyDescent="0.25">
      <c r="B16" s="690"/>
      <c r="C16" s="31" t="s">
        <v>179</v>
      </c>
      <c r="D16" s="10"/>
      <c r="E16" s="10"/>
      <c r="F16" s="45">
        <f t="shared" si="0"/>
        <v>0</v>
      </c>
      <c r="G16" s="10"/>
      <c r="H16" s="9"/>
      <c r="I16" s="46">
        <f t="shared" si="9"/>
        <v>0</v>
      </c>
      <c r="J16" s="47" t="s">
        <v>169</v>
      </c>
      <c r="K16" s="48">
        <v>0.6</v>
      </c>
      <c r="L16" s="9"/>
      <c r="M16" s="47" t="s">
        <v>272</v>
      </c>
      <c r="N16" s="48" t="str">
        <f t="shared" si="10"/>
        <v/>
      </c>
      <c r="O16" s="49">
        <f t="shared" si="11"/>
        <v>0</v>
      </c>
      <c r="P16" s="50" t="str">
        <f t="shared" si="1"/>
        <v/>
      </c>
      <c r="Q16" s="165">
        <f t="shared" si="12"/>
        <v>0</v>
      </c>
      <c r="R16" s="165">
        <f t="shared" si="13"/>
        <v>0</v>
      </c>
      <c r="S16" s="165">
        <f t="shared" si="14"/>
        <v>0</v>
      </c>
      <c r="U16" s="163">
        <f t="shared" si="2"/>
        <v>0</v>
      </c>
      <c r="V16" s="163">
        <f t="shared" si="3"/>
        <v>0</v>
      </c>
      <c r="W16" s="163">
        <f t="shared" si="4"/>
        <v>0</v>
      </c>
      <c r="X16" s="163">
        <f t="shared" si="5"/>
        <v>0</v>
      </c>
      <c r="Y16" s="163">
        <f t="shared" si="6"/>
        <v>0</v>
      </c>
      <c r="Z16" s="163">
        <f t="shared" si="7"/>
        <v>0</v>
      </c>
      <c r="AA16" s="163">
        <f t="shared" si="15"/>
        <v>0</v>
      </c>
      <c r="AB16" s="163">
        <f t="shared" si="16"/>
        <v>0</v>
      </c>
      <c r="AC16" s="163">
        <f t="shared" si="17"/>
        <v>0</v>
      </c>
      <c r="AE16" s="51" t="s">
        <v>137</v>
      </c>
      <c r="AF16" s="55">
        <v>0.86</v>
      </c>
      <c r="AG16" s="33">
        <v>17.2</v>
      </c>
      <c r="AH16" s="33">
        <v>2.8</v>
      </c>
      <c r="AI16" s="33">
        <v>3.9</v>
      </c>
      <c r="AJ16" s="191" t="s">
        <v>131</v>
      </c>
      <c r="AK16" s="56">
        <v>0.91</v>
      </c>
      <c r="AL16" s="53">
        <v>5.9</v>
      </c>
      <c r="AM16" s="53">
        <v>0.8</v>
      </c>
      <c r="AN16" s="53">
        <v>13.7</v>
      </c>
      <c r="AP16" s="54"/>
      <c r="AQ16" s="54"/>
      <c r="AS16" s="39" t="b">
        <f t="shared" si="8"/>
        <v>0</v>
      </c>
      <c r="AU16" s="152">
        <f>Q16-'P25'!Q16</f>
        <v>0</v>
      </c>
      <c r="AV16" s="152">
        <f>R16-'P25'!R16</f>
        <v>0</v>
      </c>
      <c r="AW16" s="152">
        <f>S16-'P25'!S16</f>
        <v>0</v>
      </c>
    </row>
    <row r="17" spans="2:49" s="5" customFormat="1" ht="14.25" customHeight="1" x14ac:dyDescent="0.25">
      <c r="B17" s="158" t="s">
        <v>81</v>
      </c>
      <c r="C17" s="34"/>
      <c r="D17" s="10"/>
      <c r="E17" s="10"/>
      <c r="F17" s="45">
        <f t="shared" si="0"/>
        <v>0</v>
      </c>
      <c r="G17" s="10"/>
      <c r="H17" s="9"/>
      <c r="I17" s="46">
        <f t="shared" si="9"/>
        <v>0</v>
      </c>
      <c r="J17" s="47" t="s">
        <v>169</v>
      </c>
      <c r="K17" s="48">
        <f>1.1</f>
        <v>1.1000000000000001</v>
      </c>
      <c r="L17" s="9"/>
      <c r="M17" s="47" t="s">
        <v>272</v>
      </c>
      <c r="N17" s="48" t="str">
        <f t="shared" si="10"/>
        <v/>
      </c>
      <c r="O17" s="49">
        <f t="shared" si="11"/>
        <v>0</v>
      </c>
      <c r="P17" s="50" t="str">
        <f t="shared" si="1"/>
        <v/>
      </c>
      <c r="Q17" s="165">
        <f t="shared" si="12"/>
        <v>0</v>
      </c>
      <c r="R17" s="165">
        <f t="shared" si="13"/>
        <v>0</v>
      </c>
      <c r="S17" s="165">
        <f t="shared" si="14"/>
        <v>0</v>
      </c>
      <c r="U17" s="163">
        <f t="shared" si="2"/>
        <v>0</v>
      </c>
      <c r="V17" s="163">
        <f t="shared" si="3"/>
        <v>0</v>
      </c>
      <c r="W17" s="163">
        <f t="shared" si="4"/>
        <v>0</v>
      </c>
      <c r="X17" s="163">
        <f t="shared" si="5"/>
        <v>0</v>
      </c>
      <c r="Y17" s="163">
        <f t="shared" si="6"/>
        <v>0</v>
      </c>
      <c r="Z17" s="163">
        <f t="shared" si="7"/>
        <v>0</v>
      </c>
      <c r="AA17" s="163">
        <f t="shared" si="15"/>
        <v>0</v>
      </c>
      <c r="AB17" s="163">
        <f t="shared" si="16"/>
        <v>0</v>
      </c>
      <c r="AC17" s="163">
        <f t="shared" si="17"/>
        <v>0</v>
      </c>
      <c r="AE17" s="51" t="s">
        <v>137</v>
      </c>
      <c r="AF17" s="55">
        <v>0.86</v>
      </c>
      <c r="AG17" s="33">
        <v>18.600000000000001</v>
      </c>
      <c r="AH17" s="33">
        <v>4</v>
      </c>
      <c r="AI17" s="33">
        <v>5.0999999999999996</v>
      </c>
      <c r="AJ17" s="191" t="s">
        <v>131</v>
      </c>
      <c r="AK17" s="56">
        <v>0.91</v>
      </c>
      <c r="AL17" s="53">
        <v>6.2</v>
      </c>
      <c r="AM17" s="53">
        <v>1.6</v>
      </c>
      <c r="AN17" s="53">
        <v>19</v>
      </c>
      <c r="AP17" s="54"/>
      <c r="AQ17" s="54"/>
      <c r="AS17" s="39" t="b">
        <f t="shared" si="8"/>
        <v>0</v>
      </c>
      <c r="AU17" s="152">
        <f>Q17-'P25'!Q17</f>
        <v>0</v>
      </c>
      <c r="AV17" s="152">
        <f>R17-'P25'!R17</f>
        <v>0</v>
      </c>
      <c r="AW17" s="152">
        <f>S17-'P25'!S17</f>
        <v>0</v>
      </c>
    </row>
    <row r="18" spans="2:49" s="5" customFormat="1" ht="14.25" customHeight="1" x14ac:dyDescent="0.25">
      <c r="B18" s="158" t="s">
        <v>82</v>
      </c>
      <c r="C18" s="34"/>
      <c r="D18" s="10"/>
      <c r="E18" s="10"/>
      <c r="F18" s="45">
        <f t="shared" si="0"/>
        <v>0</v>
      </c>
      <c r="G18" s="10"/>
      <c r="H18" s="9"/>
      <c r="I18" s="46">
        <f t="shared" si="9"/>
        <v>0</v>
      </c>
      <c r="J18" s="47" t="s">
        <v>169</v>
      </c>
      <c r="K18" s="48">
        <f>0.9</f>
        <v>0.9</v>
      </c>
      <c r="L18" s="9"/>
      <c r="M18" s="47" t="s">
        <v>272</v>
      </c>
      <c r="N18" s="48" t="str">
        <f t="shared" si="10"/>
        <v/>
      </c>
      <c r="O18" s="49">
        <f t="shared" si="11"/>
        <v>0</v>
      </c>
      <c r="P18" s="50" t="str">
        <f t="shared" si="1"/>
        <v/>
      </c>
      <c r="Q18" s="165">
        <f t="shared" si="12"/>
        <v>0</v>
      </c>
      <c r="R18" s="165">
        <f t="shared" si="13"/>
        <v>0</v>
      </c>
      <c r="S18" s="165">
        <f t="shared" si="14"/>
        <v>0</v>
      </c>
      <c r="U18" s="163">
        <f t="shared" si="2"/>
        <v>0</v>
      </c>
      <c r="V18" s="163">
        <f t="shared" si="3"/>
        <v>0</v>
      </c>
      <c r="W18" s="163">
        <f t="shared" si="4"/>
        <v>0</v>
      </c>
      <c r="X18" s="163">
        <f t="shared" si="5"/>
        <v>0</v>
      </c>
      <c r="Y18" s="163">
        <f t="shared" si="6"/>
        <v>0</v>
      </c>
      <c r="Z18" s="163">
        <f t="shared" si="7"/>
        <v>0</v>
      </c>
      <c r="AA18" s="163">
        <f t="shared" si="15"/>
        <v>0</v>
      </c>
      <c r="AB18" s="163">
        <f t="shared" si="16"/>
        <v>0</v>
      </c>
      <c r="AC18" s="163">
        <f t="shared" si="17"/>
        <v>0</v>
      </c>
      <c r="AE18" s="51" t="s">
        <v>137</v>
      </c>
      <c r="AF18" s="55">
        <v>0.86</v>
      </c>
      <c r="AG18" s="33">
        <v>17.899999999999999</v>
      </c>
      <c r="AH18" s="33">
        <v>3.9</v>
      </c>
      <c r="AI18" s="33">
        <v>4.5999999999999996</v>
      </c>
      <c r="AJ18" s="191" t="s">
        <v>131</v>
      </c>
      <c r="AK18" s="56">
        <v>0.91</v>
      </c>
      <c r="AL18" s="53">
        <v>5.9</v>
      </c>
      <c r="AM18" s="53">
        <v>1</v>
      </c>
      <c r="AN18" s="53">
        <v>13.4</v>
      </c>
      <c r="AP18" s="54"/>
      <c r="AQ18" s="54"/>
      <c r="AS18" s="39" t="b">
        <f t="shared" si="8"/>
        <v>0</v>
      </c>
      <c r="AU18" s="152">
        <f>Q18-'P25'!Q18</f>
        <v>0</v>
      </c>
      <c r="AV18" s="152">
        <f>R18-'P25'!R18</f>
        <v>0</v>
      </c>
      <c r="AW18" s="152">
        <f>S18-'P25'!S18</f>
        <v>0</v>
      </c>
    </row>
    <row r="19" spans="2:49" s="5" customFormat="1" ht="14.25" customHeight="1" x14ac:dyDescent="0.25">
      <c r="B19" s="158" t="s">
        <v>83</v>
      </c>
      <c r="C19" s="34"/>
      <c r="D19" s="10"/>
      <c r="E19" s="10"/>
      <c r="F19" s="45">
        <f t="shared" si="0"/>
        <v>0</v>
      </c>
      <c r="G19" s="10"/>
      <c r="H19" s="9"/>
      <c r="I19" s="46">
        <f t="shared" si="9"/>
        <v>0</v>
      </c>
      <c r="J19" s="47" t="s">
        <v>169</v>
      </c>
      <c r="K19" s="48">
        <v>1</v>
      </c>
      <c r="L19" s="9"/>
      <c r="M19" s="47" t="s">
        <v>272</v>
      </c>
      <c r="N19" s="48" t="str">
        <f t="shared" si="10"/>
        <v/>
      </c>
      <c r="O19" s="49">
        <f t="shared" si="11"/>
        <v>0</v>
      </c>
      <c r="P19" s="50" t="str">
        <f t="shared" si="1"/>
        <v/>
      </c>
      <c r="Q19" s="165">
        <f t="shared" si="12"/>
        <v>0</v>
      </c>
      <c r="R19" s="165">
        <f t="shared" si="13"/>
        <v>0</v>
      </c>
      <c r="S19" s="165">
        <f t="shared" si="14"/>
        <v>0</v>
      </c>
      <c r="U19" s="163">
        <f t="shared" si="2"/>
        <v>0</v>
      </c>
      <c r="V19" s="163">
        <f t="shared" si="3"/>
        <v>0</v>
      </c>
      <c r="W19" s="163">
        <f t="shared" si="4"/>
        <v>0</v>
      </c>
      <c r="X19" s="163">
        <f t="shared" si="5"/>
        <v>0</v>
      </c>
      <c r="Y19" s="163">
        <f t="shared" si="6"/>
        <v>0</v>
      </c>
      <c r="Z19" s="163">
        <f t="shared" si="7"/>
        <v>0</v>
      </c>
      <c r="AA19" s="163">
        <f t="shared" si="15"/>
        <v>0</v>
      </c>
      <c r="AB19" s="163">
        <f t="shared" si="16"/>
        <v>0</v>
      </c>
      <c r="AC19" s="163">
        <f t="shared" si="17"/>
        <v>0</v>
      </c>
      <c r="AE19" s="51" t="s">
        <v>137</v>
      </c>
      <c r="AF19" s="55">
        <v>0.86</v>
      </c>
      <c r="AG19" s="33">
        <v>15.8</v>
      </c>
      <c r="AH19" s="33">
        <v>3.5</v>
      </c>
      <c r="AI19" s="33">
        <v>4.5999999999999996</v>
      </c>
      <c r="AJ19" s="191" t="s">
        <v>131</v>
      </c>
      <c r="AK19" s="56">
        <v>0.91</v>
      </c>
      <c r="AL19" s="53">
        <v>9.5</v>
      </c>
      <c r="AM19" s="53">
        <v>1.2</v>
      </c>
      <c r="AN19" s="53">
        <v>17.100000000000001</v>
      </c>
      <c r="AP19" s="54"/>
      <c r="AQ19" s="54"/>
      <c r="AS19" s="39" t="b">
        <f t="shared" si="8"/>
        <v>0</v>
      </c>
      <c r="AU19" s="152">
        <f>Q19-'P25'!Q19</f>
        <v>0</v>
      </c>
      <c r="AV19" s="152">
        <f>R19-'P25'!R19</f>
        <v>0</v>
      </c>
      <c r="AW19" s="152">
        <f>S19-'P25'!S19</f>
        <v>0</v>
      </c>
    </row>
    <row r="20" spans="2:49" s="5" customFormat="1" ht="14.25" customHeight="1" x14ac:dyDescent="0.25">
      <c r="B20" s="158" t="s">
        <v>165</v>
      </c>
      <c r="C20" s="34"/>
      <c r="D20" s="10"/>
      <c r="E20" s="10"/>
      <c r="F20" s="45">
        <f t="shared" si="0"/>
        <v>0</v>
      </c>
      <c r="G20" s="10"/>
      <c r="H20" s="9"/>
      <c r="I20" s="46">
        <f t="shared" si="9"/>
        <v>0</v>
      </c>
      <c r="J20" s="47" t="s">
        <v>169</v>
      </c>
      <c r="K20" s="48">
        <v>0.5</v>
      </c>
      <c r="L20" s="9"/>
      <c r="M20" s="47" t="s">
        <v>272</v>
      </c>
      <c r="N20" s="48" t="str">
        <f t="shared" si="10"/>
        <v/>
      </c>
      <c r="O20" s="49">
        <f t="shared" si="11"/>
        <v>0</v>
      </c>
      <c r="P20" s="50" t="str">
        <f t="shared" ref="P20:P26" si="18">IF(O20&lt;0,"!",IF(AS20=TRUE,"!",""))</f>
        <v/>
      </c>
      <c r="Q20" s="165">
        <f t="shared" si="12"/>
        <v>0</v>
      </c>
      <c r="R20" s="165">
        <f t="shared" si="13"/>
        <v>0</v>
      </c>
      <c r="S20" s="165">
        <f t="shared" si="14"/>
        <v>0</v>
      </c>
      <c r="U20" s="163">
        <f t="shared" si="2"/>
        <v>0</v>
      </c>
      <c r="V20" s="163">
        <f t="shared" si="3"/>
        <v>0</v>
      </c>
      <c r="W20" s="163">
        <f t="shared" si="4"/>
        <v>0</v>
      </c>
      <c r="X20" s="163">
        <f t="shared" si="5"/>
        <v>0</v>
      </c>
      <c r="Y20" s="163">
        <f t="shared" si="6"/>
        <v>0</v>
      </c>
      <c r="Z20" s="163">
        <f t="shared" si="7"/>
        <v>0</v>
      </c>
      <c r="AA20" s="163">
        <f t="shared" si="15"/>
        <v>0</v>
      </c>
      <c r="AB20" s="163">
        <f t="shared" si="16"/>
        <v>0</v>
      </c>
      <c r="AC20" s="163">
        <f t="shared" si="17"/>
        <v>0</v>
      </c>
      <c r="AE20" s="51" t="s">
        <v>137</v>
      </c>
      <c r="AF20" s="55">
        <v>0.91</v>
      </c>
      <c r="AG20" s="33">
        <v>17.899999999999999</v>
      </c>
      <c r="AH20" s="33">
        <v>2.8</v>
      </c>
      <c r="AI20" s="33">
        <v>3.3</v>
      </c>
      <c r="AJ20" s="191" t="s">
        <v>131</v>
      </c>
      <c r="AK20" s="56">
        <v>0.92</v>
      </c>
      <c r="AL20" s="53">
        <v>6.2</v>
      </c>
      <c r="AM20" s="53">
        <v>0.7</v>
      </c>
      <c r="AN20" s="53">
        <v>10.3</v>
      </c>
      <c r="AP20" s="54"/>
      <c r="AQ20" s="54"/>
      <c r="AS20" s="39" t="b">
        <f t="shared" si="8"/>
        <v>0</v>
      </c>
      <c r="AU20" s="152">
        <f>Q20-'P25'!Q20</f>
        <v>0</v>
      </c>
      <c r="AV20" s="152">
        <f>R20-'P25'!R20</f>
        <v>0</v>
      </c>
      <c r="AW20" s="152">
        <f>S20-'P25'!S20</f>
        <v>0</v>
      </c>
    </row>
    <row r="21" spans="2:49" s="5" customFormat="1" ht="14.25" customHeight="1" x14ac:dyDescent="0.25">
      <c r="B21" s="158" t="s">
        <v>432</v>
      </c>
      <c r="C21" s="34"/>
      <c r="D21" s="10"/>
      <c r="E21" s="10"/>
      <c r="F21" s="45">
        <f t="shared" si="0"/>
        <v>0</v>
      </c>
      <c r="G21" s="10"/>
      <c r="H21" s="9"/>
      <c r="I21" s="46">
        <f t="shared" si="9"/>
        <v>0</v>
      </c>
      <c r="J21" s="47" t="s">
        <v>169</v>
      </c>
      <c r="K21" s="48">
        <v>1</v>
      </c>
      <c r="L21" s="9"/>
      <c r="M21" s="47" t="s">
        <v>272</v>
      </c>
      <c r="N21" s="48" t="str">
        <f t="shared" si="10"/>
        <v/>
      </c>
      <c r="O21" s="49">
        <f t="shared" si="11"/>
        <v>0</v>
      </c>
      <c r="P21" s="200" t="str">
        <f t="shared" si="18"/>
        <v/>
      </c>
      <c r="Q21" s="165">
        <f t="shared" si="12"/>
        <v>0</v>
      </c>
      <c r="R21" s="165">
        <f t="shared" si="13"/>
        <v>0</v>
      </c>
      <c r="S21" s="165">
        <f t="shared" si="14"/>
        <v>0</v>
      </c>
      <c r="U21" s="163">
        <f t="shared" si="2"/>
        <v>0</v>
      </c>
      <c r="V21" s="163">
        <f t="shared" si="3"/>
        <v>0</v>
      </c>
      <c r="W21" s="163">
        <f t="shared" si="4"/>
        <v>0</v>
      </c>
      <c r="X21" s="163">
        <f t="shared" si="5"/>
        <v>0</v>
      </c>
      <c r="Y21" s="163">
        <f t="shared" si="6"/>
        <v>0</v>
      </c>
      <c r="Z21" s="163">
        <f t="shared" si="7"/>
        <v>0</v>
      </c>
      <c r="AA21" s="163">
        <f t="shared" si="15"/>
        <v>0</v>
      </c>
      <c r="AB21" s="163">
        <f t="shared" si="16"/>
        <v>0</v>
      </c>
      <c r="AC21" s="163">
        <f t="shared" si="17"/>
        <v>0</v>
      </c>
      <c r="AE21" s="51" t="s">
        <v>137</v>
      </c>
      <c r="AF21" s="55">
        <v>0.86</v>
      </c>
      <c r="AG21" s="201">
        <v>18</v>
      </c>
      <c r="AH21" s="201">
        <v>3</v>
      </c>
      <c r="AI21" s="201">
        <v>4</v>
      </c>
      <c r="AJ21" s="191" t="s">
        <v>131</v>
      </c>
      <c r="AK21" s="56">
        <v>0.91</v>
      </c>
      <c r="AL21" s="202">
        <v>5</v>
      </c>
      <c r="AM21" s="202">
        <v>1</v>
      </c>
      <c r="AN21" s="202">
        <v>12</v>
      </c>
      <c r="AP21" s="54"/>
      <c r="AQ21" s="54"/>
      <c r="AS21" s="203" t="b">
        <f t="shared" si="8"/>
        <v>0</v>
      </c>
      <c r="AU21" s="152">
        <f>Q21-'P25'!Q21</f>
        <v>0</v>
      </c>
      <c r="AV21" s="152">
        <f>R21-'P25'!R21</f>
        <v>0</v>
      </c>
      <c r="AW21" s="152">
        <f>S21-'P25'!S21</f>
        <v>0</v>
      </c>
    </row>
    <row r="22" spans="2:49" s="5" customFormat="1" ht="14.25" customHeight="1" x14ac:dyDescent="0.25">
      <c r="B22" s="158" t="s">
        <v>431</v>
      </c>
      <c r="C22" s="34"/>
      <c r="D22" s="10"/>
      <c r="E22" s="10"/>
      <c r="F22" s="45">
        <f t="shared" si="0"/>
        <v>0</v>
      </c>
      <c r="G22" s="10"/>
      <c r="H22" s="9"/>
      <c r="I22" s="46">
        <f t="shared" si="9"/>
        <v>0</v>
      </c>
      <c r="J22" s="47" t="s">
        <v>169</v>
      </c>
      <c r="K22" s="48">
        <v>2</v>
      </c>
      <c r="L22" s="9"/>
      <c r="M22" s="47" t="s">
        <v>272</v>
      </c>
      <c r="N22" s="48" t="str">
        <f t="shared" si="10"/>
        <v/>
      </c>
      <c r="O22" s="49">
        <f t="shared" si="11"/>
        <v>0</v>
      </c>
      <c r="P22" s="200" t="str">
        <f t="shared" si="18"/>
        <v/>
      </c>
      <c r="Q22" s="165">
        <f t="shared" si="12"/>
        <v>0</v>
      </c>
      <c r="R22" s="165">
        <f t="shared" si="13"/>
        <v>0</v>
      </c>
      <c r="S22" s="165">
        <f t="shared" si="14"/>
        <v>0</v>
      </c>
      <c r="U22" s="163">
        <f t="shared" si="2"/>
        <v>0</v>
      </c>
      <c r="V22" s="163">
        <f t="shared" si="3"/>
        <v>0</v>
      </c>
      <c r="W22" s="163">
        <f t="shared" si="4"/>
        <v>0</v>
      </c>
      <c r="X22" s="163">
        <f t="shared" si="5"/>
        <v>0</v>
      </c>
      <c r="Y22" s="163">
        <f t="shared" si="6"/>
        <v>0</v>
      </c>
      <c r="Z22" s="163">
        <f t="shared" si="7"/>
        <v>0</v>
      </c>
      <c r="AA22" s="163">
        <f t="shared" si="15"/>
        <v>0</v>
      </c>
      <c r="AB22" s="163">
        <f t="shared" si="16"/>
        <v>0</v>
      </c>
      <c r="AC22" s="163">
        <f t="shared" si="17"/>
        <v>0</v>
      </c>
      <c r="AE22" s="51" t="s">
        <v>137</v>
      </c>
      <c r="AF22" s="55">
        <v>0.86</v>
      </c>
      <c r="AG22" s="201">
        <v>20.7</v>
      </c>
      <c r="AH22" s="201">
        <v>3.4</v>
      </c>
      <c r="AI22" s="201">
        <v>6.5</v>
      </c>
      <c r="AJ22" s="191" t="s">
        <v>131</v>
      </c>
      <c r="AK22" s="56">
        <v>0.91</v>
      </c>
      <c r="AL22" s="202">
        <v>11.4</v>
      </c>
      <c r="AM22" s="202">
        <v>3.1</v>
      </c>
      <c r="AN22" s="202">
        <v>20.6</v>
      </c>
      <c r="AP22" s="54"/>
      <c r="AQ22" s="54"/>
      <c r="AS22" s="203" t="b">
        <f t="shared" si="8"/>
        <v>0</v>
      </c>
      <c r="AU22" s="152">
        <f>Q22-'P25'!Q22</f>
        <v>0</v>
      </c>
      <c r="AV22" s="152">
        <f>R22-'P25'!R22</f>
        <v>0</v>
      </c>
      <c r="AW22" s="152">
        <f>S22-'P25'!S22</f>
        <v>0</v>
      </c>
    </row>
    <row r="23" spans="2:49" s="5" customFormat="1" ht="14.25" customHeight="1" x14ac:dyDescent="0.25">
      <c r="B23" s="158" t="s">
        <v>262</v>
      </c>
      <c r="C23" s="34"/>
      <c r="D23" s="10"/>
      <c r="E23" s="10"/>
      <c r="F23" s="45">
        <f t="shared" si="0"/>
        <v>0</v>
      </c>
      <c r="G23" s="10"/>
      <c r="H23" s="9"/>
      <c r="I23" s="46">
        <f t="shared" si="9"/>
        <v>0</v>
      </c>
      <c r="J23" s="47" t="s">
        <v>169</v>
      </c>
      <c r="K23" s="48">
        <v>1</v>
      </c>
      <c r="L23" s="9"/>
      <c r="M23" s="47" t="s">
        <v>272</v>
      </c>
      <c r="N23" s="48" t="str">
        <f t="shared" si="10"/>
        <v/>
      </c>
      <c r="O23" s="49">
        <f t="shared" si="11"/>
        <v>0</v>
      </c>
      <c r="P23" s="50" t="str">
        <f t="shared" si="18"/>
        <v/>
      </c>
      <c r="Q23" s="165">
        <f t="shared" si="12"/>
        <v>0</v>
      </c>
      <c r="R23" s="165">
        <f t="shared" si="13"/>
        <v>0</v>
      </c>
      <c r="S23" s="165">
        <f t="shared" si="14"/>
        <v>0</v>
      </c>
      <c r="U23" s="163">
        <f t="shared" si="2"/>
        <v>0</v>
      </c>
      <c r="V23" s="163">
        <f t="shared" si="3"/>
        <v>0</v>
      </c>
      <c r="W23" s="163">
        <f t="shared" si="4"/>
        <v>0</v>
      </c>
      <c r="X23" s="163">
        <f t="shared" si="5"/>
        <v>0</v>
      </c>
      <c r="Y23" s="163">
        <f t="shared" si="6"/>
        <v>0</v>
      </c>
      <c r="Z23" s="163">
        <f t="shared" si="7"/>
        <v>0</v>
      </c>
      <c r="AA23" s="163">
        <f t="shared" si="15"/>
        <v>0</v>
      </c>
      <c r="AB23" s="163">
        <f t="shared" si="16"/>
        <v>0</v>
      </c>
      <c r="AC23" s="163">
        <f t="shared" si="17"/>
        <v>0</v>
      </c>
      <c r="AE23" s="51" t="s">
        <v>137</v>
      </c>
      <c r="AF23" s="55">
        <v>0.86</v>
      </c>
      <c r="AG23" s="33">
        <v>35.9</v>
      </c>
      <c r="AH23" s="33">
        <v>3.6</v>
      </c>
      <c r="AI23" s="33">
        <v>8.4</v>
      </c>
      <c r="AJ23" s="191" t="s">
        <v>131</v>
      </c>
      <c r="AK23" s="56">
        <v>0.86</v>
      </c>
      <c r="AL23" s="53">
        <v>15.1</v>
      </c>
      <c r="AM23" s="53">
        <v>1.5</v>
      </c>
      <c r="AN23" s="53">
        <v>15.1</v>
      </c>
      <c r="AP23" s="127">
        <v>120</v>
      </c>
      <c r="AQ23" s="57">
        <f>D23*AP23</f>
        <v>0</v>
      </c>
      <c r="AS23" s="39" t="b">
        <f t="shared" si="8"/>
        <v>0</v>
      </c>
      <c r="AU23" s="152">
        <f>Q23-'P25'!Q23</f>
        <v>0</v>
      </c>
      <c r="AV23" s="152">
        <f>R23-'P25'!R23</f>
        <v>0</v>
      </c>
      <c r="AW23" s="152">
        <f>S23-'P25'!S23</f>
        <v>0</v>
      </c>
    </row>
    <row r="24" spans="2:49" s="5" customFormat="1" ht="14.25" customHeight="1" x14ac:dyDescent="0.25">
      <c r="B24" s="158" t="s">
        <v>88</v>
      </c>
      <c r="C24" s="34"/>
      <c r="D24" s="10"/>
      <c r="E24" s="10"/>
      <c r="F24" s="45">
        <f t="shared" si="0"/>
        <v>0</v>
      </c>
      <c r="G24" s="10"/>
      <c r="H24" s="9"/>
      <c r="I24" s="46">
        <f t="shared" si="9"/>
        <v>0</v>
      </c>
      <c r="J24" s="47" t="s">
        <v>169</v>
      </c>
      <c r="K24" s="48">
        <v>1</v>
      </c>
      <c r="L24" s="9"/>
      <c r="M24" s="47" t="s">
        <v>272</v>
      </c>
      <c r="N24" s="48" t="str">
        <f t="shared" si="10"/>
        <v/>
      </c>
      <c r="O24" s="49">
        <f t="shared" si="11"/>
        <v>0</v>
      </c>
      <c r="P24" s="50" t="str">
        <f t="shared" si="18"/>
        <v/>
      </c>
      <c r="Q24" s="165">
        <f t="shared" si="12"/>
        <v>0</v>
      </c>
      <c r="R24" s="165">
        <f t="shared" si="13"/>
        <v>0</v>
      </c>
      <c r="S24" s="165">
        <f t="shared" si="14"/>
        <v>0</v>
      </c>
      <c r="U24" s="163">
        <f t="shared" si="2"/>
        <v>0</v>
      </c>
      <c r="V24" s="163">
        <f t="shared" si="3"/>
        <v>0</v>
      </c>
      <c r="W24" s="163">
        <f t="shared" si="4"/>
        <v>0</v>
      </c>
      <c r="X24" s="163">
        <f t="shared" si="5"/>
        <v>0</v>
      </c>
      <c r="Y24" s="163">
        <f t="shared" si="6"/>
        <v>0</v>
      </c>
      <c r="Z24" s="163">
        <f t="shared" si="7"/>
        <v>0</v>
      </c>
      <c r="AA24" s="163">
        <f t="shared" si="15"/>
        <v>0</v>
      </c>
      <c r="AB24" s="163">
        <f t="shared" si="16"/>
        <v>0</v>
      </c>
      <c r="AC24" s="163">
        <f t="shared" si="17"/>
        <v>0</v>
      </c>
      <c r="AE24" s="51" t="s">
        <v>137</v>
      </c>
      <c r="AF24" s="55">
        <v>0.86</v>
      </c>
      <c r="AG24" s="33">
        <v>55.6</v>
      </c>
      <c r="AH24" s="33">
        <v>7</v>
      </c>
      <c r="AI24" s="33">
        <v>13.1</v>
      </c>
      <c r="AJ24" s="191" t="s">
        <v>131</v>
      </c>
      <c r="AK24" s="56">
        <v>0.86</v>
      </c>
      <c r="AL24" s="53">
        <v>12.1</v>
      </c>
      <c r="AM24" s="53">
        <v>1.6</v>
      </c>
      <c r="AN24" s="53">
        <v>15.6</v>
      </c>
      <c r="AP24" s="127">
        <v>80</v>
      </c>
      <c r="AQ24" s="57">
        <f>D24*AP24</f>
        <v>0</v>
      </c>
      <c r="AS24" s="39" t="b">
        <f t="shared" si="8"/>
        <v>0</v>
      </c>
      <c r="AU24" s="152">
        <f>Q24-'P25'!Q24</f>
        <v>0</v>
      </c>
      <c r="AV24" s="152">
        <f>R24-'P25'!R24</f>
        <v>0</v>
      </c>
      <c r="AW24" s="152">
        <f>S24-'P25'!S24</f>
        <v>0</v>
      </c>
    </row>
    <row r="25" spans="2:49" s="5" customFormat="1" ht="14.25" customHeight="1" x14ac:dyDescent="0.25">
      <c r="B25" s="158" t="s">
        <v>263</v>
      </c>
      <c r="C25" s="34"/>
      <c r="D25" s="10"/>
      <c r="E25" s="10"/>
      <c r="F25" s="45">
        <f t="shared" si="0"/>
        <v>0</v>
      </c>
      <c r="G25" s="10"/>
      <c r="H25" s="9"/>
      <c r="I25" s="46">
        <f t="shared" si="9"/>
        <v>0</v>
      </c>
      <c r="J25" s="47" t="s">
        <v>169</v>
      </c>
      <c r="K25" s="48">
        <v>0.9</v>
      </c>
      <c r="L25" s="9"/>
      <c r="M25" s="47" t="s">
        <v>272</v>
      </c>
      <c r="N25" s="48" t="str">
        <f t="shared" si="10"/>
        <v/>
      </c>
      <c r="O25" s="49">
        <f t="shared" si="11"/>
        <v>0</v>
      </c>
      <c r="P25" s="50" t="str">
        <f t="shared" si="18"/>
        <v/>
      </c>
      <c r="Q25" s="165">
        <f t="shared" si="12"/>
        <v>0</v>
      </c>
      <c r="R25" s="165">
        <f t="shared" si="13"/>
        <v>0</v>
      </c>
      <c r="S25" s="165">
        <f t="shared" si="14"/>
        <v>0</v>
      </c>
      <c r="U25" s="163">
        <f t="shared" si="2"/>
        <v>0</v>
      </c>
      <c r="V25" s="163">
        <f t="shared" si="3"/>
        <v>0</v>
      </c>
      <c r="W25" s="163">
        <f t="shared" si="4"/>
        <v>0</v>
      </c>
      <c r="X25" s="163">
        <f t="shared" si="5"/>
        <v>0</v>
      </c>
      <c r="Y25" s="163">
        <f t="shared" si="6"/>
        <v>0</v>
      </c>
      <c r="Z25" s="163">
        <f t="shared" si="7"/>
        <v>0</v>
      </c>
      <c r="AA25" s="163">
        <f t="shared" si="15"/>
        <v>0</v>
      </c>
      <c r="AB25" s="163">
        <f t="shared" si="16"/>
        <v>0</v>
      </c>
      <c r="AC25" s="163">
        <f t="shared" si="17"/>
        <v>0</v>
      </c>
      <c r="AE25" s="51" t="s">
        <v>137</v>
      </c>
      <c r="AF25" s="55">
        <v>0.86</v>
      </c>
      <c r="AG25" s="33">
        <v>42.4</v>
      </c>
      <c r="AH25" s="33">
        <v>4.5999999999999996</v>
      </c>
      <c r="AI25" s="33">
        <v>10.199999999999999</v>
      </c>
      <c r="AJ25" s="191" t="s">
        <v>131</v>
      </c>
      <c r="AK25" s="56">
        <v>0.86</v>
      </c>
      <c r="AL25" s="53">
        <v>10.5</v>
      </c>
      <c r="AM25" s="53">
        <v>0.8</v>
      </c>
      <c r="AN25" s="53">
        <v>11.3</v>
      </c>
      <c r="AP25" s="127">
        <v>120</v>
      </c>
      <c r="AQ25" s="57">
        <f>D25*AP25</f>
        <v>0</v>
      </c>
      <c r="AS25" s="39" t="b">
        <f t="shared" si="8"/>
        <v>0</v>
      </c>
      <c r="AU25" s="152">
        <f>Q25-'P25'!Q25</f>
        <v>0</v>
      </c>
      <c r="AV25" s="152">
        <f>R25-'P25'!R25</f>
        <v>0</v>
      </c>
      <c r="AW25" s="152">
        <f>S25-'P25'!S25</f>
        <v>0</v>
      </c>
    </row>
    <row r="26" spans="2:49" s="5" customFormat="1" ht="14.25" customHeight="1" x14ac:dyDescent="0.25">
      <c r="B26" s="158" t="s">
        <v>435</v>
      </c>
      <c r="C26" s="34"/>
      <c r="D26" s="10"/>
      <c r="E26" s="10"/>
      <c r="F26" s="45">
        <f t="shared" si="0"/>
        <v>0</v>
      </c>
      <c r="G26" s="10"/>
      <c r="H26" s="9"/>
      <c r="I26" s="46">
        <f t="shared" si="9"/>
        <v>0</v>
      </c>
      <c r="J26" s="47" t="s">
        <v>169</v>
      </c>
      <c r="K26" s="48">
        <v>1</v>
      </c>
      <c r="L26" s="9"/>
      <c r="M26" s="47" t="s">
        <v>272</v>
      </c>
      <c r="N26" s="48" t="str">
        <f t="shared" si="10"/>
        <v/>
      </c>
      <c r="O26" s="49">
        <f t="shared" si="11"/>
        <v>0</v>
      </c>
      <c r="P26" s="50" t="str">
        <f t="shared" si="18"/>
        <v/>
      </c>
      <c r="Q26" s="165">
        <f t="shared" si="12"/>
        <v>0</v>
      </c>
      <c r="R26" s="165">
        <f t="shared" si="13"/>
        <v>0</v>
      </c>
      <c r="S26" s="165">
        <f t="shared" si="14"/>
        <v>0</v>
      </c>
      <c r="U26" s="163">
        <f t="shared" si="2"/>
        <v>0</v>
      </c>
      <c r="V26" s="163">
        <f t="shared" si="3"/>
        <v>0</v>
      </c>
      <c r="W26" s="163">
        <f t="shared" si="4"/>
        <v>0</v>
      </c>
      <c r="X26" s="163">
        <f t="shared" si="5"/>
        <v>0</v>
      </c>
      <c r="Y26" s="163">
        <f t="shared" si="6"/>
        <v>0</v>
      </c>
      <c r="Z26" s="163">
        <f t="shared" si="7"/>
        <v>0</v>
      </c>
      <c r="AA26" s="163">
        <f t="shared" si="15"/>
        <v>0</v>
      </c>
      <c r="AB26" s="163">
        <f t="shared" si="16"/>
        <v>0</v>
      </c>
      <c r="AC26" s="163">
        <f t="shared" si="17"/>
        <v>0</v>
      </c>
      <c r="AE26" s="51" t="s">
        <v>137</v>
      </c>
      <c r="AF26" s="55">
        <v>0.86</v>
      </c>
      <c r="AG26" s="33">
        <v>40</v>
      </c>
      <c r="AH26" s="33">
        <v>4</v>
      </c>
      <c r="AI26" s="33">
        <v>10</v>
      </c>
      <c r="AJ26" s="191" t="s">
        <v>131</v>
      </c>
      <c r="AK26" s="56">
        <v>0.86</v>
      </c>
      <c r="AL26" s="53">
        <v>10</v>
      </c>
      <c r="AM26" s="53">
        <v>1</v>
      </c>
      <c r="AN26" s="53">
        <v>11</v>
      </c>
      <c r="AP26" s="127">
        <v>80</v>
      </c>
      <c r="AQ26" s="57">
        <f>D26*AP26</f>
        <v>0</v>
      </c>
      <c r="AS26" s="39" t="b">
        <f t="shared" si="8"/>
        <v>0</v>
      </c>
      <c r="AU26" s="152">
        <f>Q26-'P25'!Q26</f>
        <v>0</v>
      </c>
      <c r="AV26" s="152">
        <f>R26-'P25'!R26</f>
        <v>0</v>
      </c>
      <c r="AW26" s="152">
        <f>S26-'P25'!S26</f>
        <v>0</v>
      </c>
    </row>
    <row r="27" spans="2:49" s="5" customFormat="1" ht="14.25" customHeight="1" x14ac:dyDescent="0.25">
      <c r="B27" s="689" t="s">
        <v>184</v>
      </c>
      <c r="C27" s="31" t="s">
        <v>182</v>
      </c>
      <c r="D27" s="10"/>
      <c r="E27" s="10"/>
      <c r="F27" s="45">
        <f t="shared" si="0"/>
        <v>0</v>
      </c>
      <c r="G27" s="10"/>
      <c r="H27" s="58"/>
      <c r="I27" s="59"/>
      <c r="J27" s="60"/>
      <c r="K27" s="61"/>
      <c r="L27" s="58"/>
      <c r="M27" s="60"/>
      <c r="N27" s="61"/>
      <c r="O27" s="62"/>
      <c r="P27" s="63" t="str">
        <f>IF(O27&lt;0,"!","")</f>
        <v/>
      </c>
      <c r="Q27" s="165">
        <f t="shared" si="12"/>
        <v>0</v>
      </c>
      <c r="R27" s="165">
        <f t="shared" si="13"/>
        <v>0</v>
      </c>
      <c r="S27" s="165">
        <f t="shared" si="14"/>
        <v>0</v>
      </c>
      <c r="U27" s="163">
        <f t="shared" si="2"/>
        <v>0</v>
      </c>
      <c r="V27" s="163">
        <f t="shared" si="3"/>
        <v>0</v>
      </c>
      <c r="W27" s="163">
        <f t="shared" si="4"/>
        <v>0</v>
      </c>
      <c r="X27" s="163">
        <f t="shared" si="5"/>
        <v>0</v>
      </c>
      <c r="Y27" s="163">
        <f t="shared" si="6"/>
        <v>0</v>
      </c>
      <c r="Z27" s="163">
        <f t="shared" si="7"/>
        <v>0</v>
      </c>
      <c r="AA27" s="163">
        <f t="shared" si="15"/>
        <v>0</v>
      </c>
      <c r="AB27" s="163">
        <f t="shared" si="16"/>
        <v>0</v>
      </c>
      <c r="AC27" s="163">
        <f t="shared" si="17"/>
        <v>0</v>
      </c>
      <c r="AE27" s="51" t="s">
        <v>138</v>
      </c>
      <c r="AF27" s="55">
        <v>0.18</v>
      </c>
      <c r="AG27" s="33">
        <v>3</v>
      </c>
      <c r="AH27" s="33">
        <v>0.5</v>
      </c>
      <c r="AI27" s="33">
        <v>4.4000000000000004</v>
      </c>
      <c r="AJ27" s="191" t="s">
        <v>132</v>
      </c>
      <c r="AK27" s="56">
        <v>0.12</v>
      </c>
      <c r="AL27" s="53">
        <v>2.2999999999999998</v>
      </c>
      <c r="AM27" s="53">
        <v>0.2</v>
      </c>
      <c r="AN27" s="53">
        <v>2.8</v>
      </c>
      <c r="AP27" s="54"/>
      <c r="AQ27" s="54"/>
      <c r="AS27" s="39" t="b">
        <f t="shared" si="8"/>
        <v>0</v>
      </c>
      <c r="AU27" s="152">
        <f>Q27-'P25'!Q27</f>
        <v>0</v>
      </c>
      <c r="AV27" s="152">
        <f>R27-'P25'!R27</f>
        <v>0</v>
      </c>
      <c r="AW27" s="152">
        <f>S27-'P25'!S27</f>
        <v>0</v>
      </c>
    </row>
    <row r="28" spans="2:49" s="5" customFormat="1" ht="14.25" customHeight="1" x14ac:dyDescent="0.25">
      <c r="B28" s="690"/>
      <c r="C28" s="31" t="s">
        <v>101</v>
      </c>
      <c r="D28" s="10"/>
      <c r="E28" s="10"/>
      <c r="F28" s="45">
        <f t="shared" si="0"/>
        <v>0</v>
      </c>
      <c r="G28" s="10"/>
      <c r="H28" s="58"/>
      <c r="I28" s="59"/>
      <c r="J28" s="60"/>
      <c r="K28" s="61"/>
      <c r="L28" s="58"/>
      <c r="M28" s="60"/>
      <c r="N28" s="61"/>
      <c r="O28" s="62"/>
      <c r="P28" s="63" t="str">
        <f>IF(O28&lt;0,"!","")</f>
        <v/>
      </c>
      <c r="Q28" s="165">
        <f t="shared" si="12"/>
        <v>0</v>
      </c>
      <c r="R28" s="165">
        <f t="shared" si="13"/>
        <v>0</v>
      </c>
      <c r="S28" s="165">
        <f t="shared" si="14"/>
        <v>0</v>
      </c>
      <c r="U28" s="163">
        <f t="shared" si="2"/>
        <v>0</v>
      </c>
      <c r="V28" s="163">
        <f t="shared" si="3"/>
        <v>0</v>
      </c>
      <c r="W28" s="163">
        <f t="shared" si="4"/>
        <v>0</v>
      </c>
      <c r="X28" s="163">
        <f t="shared" si="5"/>
        <v>0</v>
      </c>
      <c r="Y28" s="163">
        <f t="shared" si="6"/>
        <v>0</v>
      </c>
      <c r="Z28" s="163">
        <f t="shared" si="7"/>
        <v>0</v>
      </c>
      <c r="AA28" s="163">
        <f t="shared" si="15"/>
        <v>0</v>
      </c>
      <c r="AB28" s="163">
        <f t="shared" si="16"/>
        <v>0</v>
      </c>
      <c r="AC28" s="163">
        <f t="shared" si="17"/>
        <v>0</v>
      </c>
      <c r="AE28" s="51" t="s">
        <v>138</v>
      </c>
      <c r="AF28" s="55">
        <v>0.22</v>
      </c>
      <c r="AG28" s="33">
        <v>3.5</v>
      </c>
      <c r="AH28" s="33">
        <v>0.5</v>
      </c>
      <c r="AI28" s="33">
        <v>4.5</v>
      </c>
      <c r="AJ28" s="191" t="s">
        <v>132</v>
      </c>
      <c r="AK28" s="56">
        <v>0.15</v>
      </c>
      <c r="AL28" s="53">
        <v>2.8</v>
      </c>
      <c r="AM28" s="53">
        <v>0.2</v>
      </c>
      <c r="AN28" s="53">
        <v>4</v>
      </c>
      <c r="AP28" s="54"/>
      <c r="AQ28" s="54"/>
      <c r="AS28" s="39" t="b">
        <f t="shared" si="8"/>
        <v>0</v>
      </c>
      <c r="AU28" s="152">
        <f>Q28-'P25'!Q28</f>
        <v>0</v>
      </c>
      <c r="AV28" s="152">
        <f>R28-'P25'!R28</f>
        <v>0</v>
      </c>
      <c r="AW28" s="152">
        <f>S28-'P25'!S28</f>
        <v>0</v>
      </c>
    </row>
    <row r="29" spans="2:49" s="5" customFormat="1" ht="14.25" customHeight="1" x14ac:dyDescent="0.25">
      <c r="B29" s="158" t="s">
        <v>223</v>
      </c>
      <c r="C29" s="34"/>
      <c r="D29" s="10"/>
      <c r="E29" s="10"/>
      <c r="F29" s="45">
        <f t="shared" si="0"/>
        <v>0</v>
      </c>
      <c r="G29" s="10"/>
      <c r="H29" s="9"/>
      <c r="I29" s="46">
        <f t="shared" ref="I29:I40" si="19">IF(L29=0,IF(F29=0,G29*K29*H29,F29*K29*H29),0)</f>
        <v>0</v>
      </c>
      <c r="J29" s="47" t="s">
        <v>169</v>
      </c>
      <c r="K29" s="48">
        <v>0.4</v>
      </c>
      <c r="L29" s="9"/>
      <c r="M29" s="47" t="s">
        <v>272</v>
      </c>
      <c r="N29" s="48" t="str">
        <f>IF(H29=0,"",IF(F29+G29=0,"",IF(L29=0,0,IF(G29=0,(L29/H29)/F29,(L29/H29)/G29))))</f>
        <v/>
      </c>
      <c r="O29" s="49">
        <f t="shared" ref="O29:O40" si="20">D29-H29</f>
        <v>0</v>
      </c>
      <c r="P29" s="50" t="str">
        <f t="shared" ref="P29:P41" si="21">IF(O29&lt;0,"!",IF(AS29=TRUE,"!",""))</f>
        <v/>
      </c>
      <c r="Q29" s="165">
        <f t="shared" si="12"/>
        <v>0</v>
      </c>
      <c r="R29" s="165">
        <f t="shared" si="13"/>
        <v>0</v>
      </c>
      <c r="S29" s="165">
        <f t="shared" si="14"/>
        <v>0</v>
      </c>
      <c r="U29" s="163">
        <f t="shared" si="2"/>
        <v>0</v>
      </c>
      <c r="V29" s="163">
        <f t="shared" si="3"/>
        <v>0</v>
      </c>
      <c r="W29" s="163">
        <f t="shared" si="4"/>
        <v>0</v>
      </c>
      <c r="X29" s="163">
        <f t="shared" si="5"/>
        <v>0</v>
      </c>
      <c r="Y29" s="163">
        <f t="shared" si="6"/>
        <v>0</v>
      </c>
      <c r="Z29" s="163">
        <f t="shared" si="7"/>
        <v>0</v>
      </c>
      <c r="AA29" s="163">
        <f t="shared" si="15"/>
        <v>0</v>
      </c>
      <c r="AB29" s="163">
        <f t="shared" si="16"/>
        <v>0</v>
      </c>
      <c r="AC29" s="163">
        <f t="shared" si="17"/>
        <v>0</v>
      </c>
      <c r="AE29" s="51" t="s">
        <v>139</v>
      </c>
      <c r="AF29" s="55">
        <v>0.23</v>
      </c>
      <c r="AG29" s="33">
        <v>1.8</v>
      </c>
      <c r="AH29" s="33">
        <v>0.3</v>
      </c>
      <c r="AI29" s="33">
        <v>2</v>
      </c>
      <c r="AJ29" s="191" t="s">
        <v>8</v>
      </c>
      <c r="AK29" s="56">
        <v>0.15</v>
      </c>
      <c r="AL29" s="53">
        <v>4</v>
      </c>
      <c r="AM29" s="53">
        <v>0.4</v>
      </c>
      <c r="AN29" s="53">
        <v>4.5</v>
      </c>
      <c r="AP29" s="54"/>
      <c r="AQ29" s="54"/>
      <c r="AS29" s="39" t="b">
        <f t="shared" si="8"/>
        <v>0</v>
      </c>
      <c r="AU29" s="152">
        <f>Q29-'P25'!Q29</f>
        <v>0</v>
      </c>
      <c r="AV29" s="152">
        <f>R29-'P25'!R29</f>
        <v>0</v>
      </c>
      <c r="AW29" s="152">
        <f>S29-'P25'!S29</f>
        <v>0</v>
      </c>
    </row>
    <row r="30" spans="2:49" s="5" customFormat="1" ht="14.25" customHeight="1" x14ac:dyDescent="0.25">
      <c r="B30" s="158" t="s">
        <v>224</v>
      </c>
      <c r="C30" s="34"/>
      <c r="D30" s="10"/>
      <c r="E30" s="10"/>
      <c r="F30" s="45">
        <f t="shared" si="0"/>
        <v>0</v>
      </c>
      <c r="G30" s="10"/>
      <c r="H30" s="9"/>
      <c r="I30" s="46">
        <f t="shared" si="19"/>
        <v>0</v>
      </c>
      <c r="J30" s="47" t="s">
        <v>169</v>
      </c>
      <c r="K30" s="48">
        <v>0.4</v>
      </c>
      <c r="L30" s="9"/>
      <c r="M30" s="47" t="s">
        <v>272</v>
      </c>
      <c r="N30" s="48" t="str">
        <f t="shared" ref="N30:N56" si="22">IF(H30=0,"",IF(F30+G30=0,"",IF(L30=0,0,IF(G30=0,(L30/H30)/F30,(L30/H30)/G30))))</f>
        <v/>
      </c>
      <c r="O30" s="49">
        <f t="shared" si="20"/>
        <v>0</v>
      </c>
      <c r="P30" s="50" t="str">
        <f t="shared" si="21"/>
        <v/>
      </c>
      <c r="Q30" s="165">
        <f t="shared" si="12"/>
        <v>0</v>
      </c>
      <c r="R30" s="165">
        <f t="shared" si="13"/>
        <v>0</v>
      </c>
      <c r="S30" s="165">
        <f t="shared" si="14"/>
        <v>0</v>
      </c>
      <c r="U30" s="163">
        <f t="shared" si="2"/>
        <v>0</v>
      </c>
      <c r="V30" s="163">
        <f t="shared" si="3"/>
        <v>0</v>
      </c>
      <c r="W30" s="163">
        <f t="shared" si="4"/>
        <v>0</v>
      </c>
      <c r="X30" s="163">
        <f t="shared" si="5"/>
        <v>0</v>
      </c>
      <c r="Y30" s="163">
        <f t="shared" si="6"/>
        <v>0</v>
      </c>
      <c r="Z30" s="163">
        <f t="shared" si="7"/>
        <v>0</v>
      </c>
      <c r="AA30" s="163">
        <f t="shared" si="15"/>
        <v>0</v>
      </c>
      <c r="AB30" s="163">
        <f t="shared" si="16"/>
        <v>0</v>
      </c>
      <c r="AC30" s="163">
        <f t="shared" si="17"/>
        <v>0</v>
      </c>
      <c r="AE30" s="51" t="s">
        <v>139</v>
      </c>
      <c r="AF30" s="55">
        <v>0.17</v>
      </c>
      <c r="AG30" s="33">
        <v>1.4</v>
      </c>
      <c r="AH30" s="33">
        <v>0.3</v>
      </c>
      <c r="AI30" s="33">
        <v>1.3</v>
      </c>
      <c r="AJ30" s="191" t="s">
        <v>8</v>
      </c>
      <c r="AK30" s="56">
        <v>0.15</v>
      </c>
      <c r="AL30" s="53">
        <v>2.8</v>
      </c>
      <c r="AM30" s="53">
        <v>0.4</v>
      </c>
      <c r="AN30" s="53">
        <v>4</v>
      </c>
      <c r="AP30" s="54"/>
      <c r="AQ30" s="54"/>
      <c r="AS30" s="39" t="b">
        <f t="shared" si="8"/>
        <v>0</v>
      </c>
      <c r="AU30" s="152">
        <f>Q30-'P25'!Q30</f>
        <v>0</v>
      </c>
      <c r="AV30" s="152">
        <f>R30-'P25'!R30</f>
        <v>0</v>
      </c>
      <c r="AW30" s="152">
        <f>S30-'P25'!S30</f>
        <v>0</v>
      </c>
    </row>
    <row r="31" spans="2:49" s="5" customFormat="1" ht="14.25" customHeight="1" x14ac:dyDescent="0.25">
      <c r="B31" s="158" t="s">
        <v>436</v>
      </c>
      <c r="C31" s="34"/>
      <c r="D31" s="10"/>
      <c r="E31" s="10"/>
      <c r="F31" s="45">
        <f t="shared" si="0"/>
        <v>0</v>
      </c>
      <c r="G31" s="10"/>
      <c r="H31" s="9"/>
      <c r="I31" s="46">
        <f t="shared" si="19"/>
        <v>0</v>
      </c>
      <c r="J31" s="47" t="s">
        <v>169</v>
      </c>
      <c r="K31" s="48">
        <v>0.3</v>
      </c>
      <c r="L31" s="9"/>
      <c r="M31" s="47" t="s">
        <v>272</v>
      </c>
      <c r="N31" s="48" t="str">
        <f t="shared" si="22"/>
        <v/>
      </c>
      <c r="O31" s="49">
        <f t="shared" si="20"/>
        <v>0</v>
      </c>
      <c r="P31" s="50" t="str">
        <f t="shared" si="21"/>
        <v/>
      </c>
      <c r="Q31" s="165">
        <f t="shared" si="12"/>
        <v>0</v>
      </c>
      <c r="R31" s="165">
        <f t="shared" si="13"/>
        <v>0</v>
      </c>
      <c r="S31" s="165">
        <f t="shared" si="14"/>
        <v>0</v>
      </c>
      <c r="U31" s="163">
        <f t="shared" si="2"/>
        <v>0</v>
      </c>
      <c r="V31" s="163">
        <f t="shared" si="3"/>
        <v>0</v>
      </c>
      <c r="W31" s="163">
        <f t="shared" si="4"/>
        <v>0</v>
      </c>
      <c r="X31" s="163">
        <f t="shared" si="5"/>
        <v>0</v>
      </c>
      <c r="Y31" s="163">
        <f t="shared" si="6"/>
        <v>0</v>
      </c>
      <c r="Z31" s="163">
        <f t="shared" si="7"/>
        <v>0</v>
      </c>
      <c r="AA31" s="163">
        <f t="shared" si="15"/>
        <v>0</v>
      </c>
      <c r="AB31" s="163">
        <f t="shared" si="16"/>
        <v>0</v>
      </c>
      <c r="AC31" s="163">
        <f t="shared" si="17"/>
        <v>0</v>
      </c>
      <c r="AE31" s="51" t="s">
        <v>140</v>
      </c>
      <c r="AF31" s="55">
        <v>0.22</v>
      </c>
      <c r="AG31" s="33">
        <v>2.5</v>
      </c>
      <c r="AH31" s="33">
        <v>0.4</v>
      </c>
      <c r="AI31" s="33">
        <v>3.5</v>
      </c>
      <c r="AJ31" s="191" t="s">
        <v>133</v>
      </c>
      <c r="AK31" s="56">
        <v>0.15</v>
      </c>
      <c r="AL31" s="53">
        <v>3</v>
      </c>
      <c r="AM31" s="53">
        <v>0.4</v>
      </c>
      <c r="AN31" s="53">
        <v>4</v>
      </c>
      <c r="AP31" s="54"/>
      <c r="AQ31" s="54"/>
      <c r="AS31" s="39" t="b">
        <f t="shared" si="8"/>
        <v>0</v>
      </c>
      <c r="AU31" s="152">
        <f>Q31-'P25'!Q31</f>
        <v>0</v>
      </c>
      <c r="AV31" s="152">
        <f>R31-'P25'!R31</f>
        <v>0</v>
      </c>
      <c r="AW31" s="152">
        <f>S31-'P25'!S31</f>
        <v>0</v>
      </c>
    </row>
    <row r="32" spans="2:49" s="5" customFormat="1" ht="14.25" customHeight="1" x14ac:dyDescent="0.25">
      <c r="B32" s="158" t="s">
        <v>437</v>
      </c>
      <c r="C32" s="34"/>
      <c r="D32" s="10"/>
      <c r="E32" s="10"/>
      <c r="F32" s="45">
        <f t="shared" si="0"/>
        <v>0</v>
      </c>
      <c r="G32" s="10"/>
      <c r="H32" s="9"/>
      <c r="I32" s="46">
        <f t="shared" si="19"/>
        <v>0</v>
      </c>
      <c r="J32" s="47" t="s">
        <v>169</v>
      </c>
      <c r="K32" s="48">
        <v>2.2000000000000002</v>
      </c>
      <c r="L32" s="9"/>
      <c r="M32" s="47" t="s">
        <v>272</v>
      </c>
      <c r="N32" s="48" t="str">
        <f t="shared" si="22"/>
        <v/>
      </c>
      <c r="O32" s="49">
        <f t="shared" si="20"/>
        <v>0</v>
      </c>
      <c r="P32" s="50" t="str">
        <f t="shared" si="21"/>
        <v/>
      </c>
      <c r="Q32" s="165">
        <f t="shared" si="12"/>
        <v>0</v>
      </c>
      <c r="R32" s="165">
        <f t="shared" si="13"/>
        <v>0</v>
      </c>
      <c r="S32" s="165">
        <f t="shared" si="14"/>
        <v>0</v>
      </c>
      <c r="U32" s="163">
        <f t="shared" si="2"/>
        <v>0</v>
      </c>
      <c r="V32" s="163">
        <f t="shared" si="3"/>
        <v>0</v>
      </c>
      <c r="W32" s="163">
        <f t="shared" si="4"/>
        <v>0</v>
      </c>
      <c r="X32" s="163">
        <f t="shared" si="5"/>
        <v>0</v>
      </c>
      <c r="Y32" s="163">
        <f t="shared" si="6"/>
        <v>0</v>
      </c>
      <c r="Z32" s="163">
        <f t="shared" si="7"/>
        <v>0</v>
      </c>
      <c r="AA32" s="163">
        <f t="shared" si="15"/>
        <v>0</v>
      </c>
      <c r="AB32" s="163">
        <f t="shared" si="16"/>
        <v>0</v>
      </c>
      <c r="AC32" s="163">
        <f t="shared" si="17"/>
        <v>0</v>
      </c>
      <c r="AE32" s="51" t="s">
        <v>141</v>
      </c>
      <c r="AF32" s="55">
        <v>0.92</v>
      </c>
      <c r="AG32" s="33">
        <v>34.200000000000003</v>
      </c>
      <c r="AH32" s="33">
        <v>7.2</v>
      </c>
      <c r="AI32" s="33">
        <v>7.9</v>
      </c>
      <c r="AJ32" s="191" t="s">
        <v>131</v>
      </c>
      <c r="AK32" s="56">
        <v>0.86</v>
      </c>
      <c r="AL32" s="53">
        <v>6.9</v>
      </c>
      <c r="AM32" s="53">
        <v>1.3</v>
      </c>
      <c r="AN32" s="53">
        <v>11.6</v>
      </c>
      <c r="AP32" s="54"/>
      <c r="AQ32" s="54"/>
      <c r="AS32" s="39" t="b">
        <f t="shared" si="8"/>
        <v>0</v>
      </c>
      <c r="AU32" s="152">
        <f>Q32-'P25'!Q32</f>
        <v>0</v>
      </c>
      <c r="AV32" s="152">
        <f>R32-'P25'!R32</f>
        <v>0</v>
      </c>
      <c r="AW32" s="152">
        <f>S32-'P25'!S32</f>
        <v>0</v>
      </c>
    </row>
    <row r="33" spans="2:49" s="5" customFormat="1" ht="14.25" customHeight="1" x14ac:dyDescent="0.25">
      <c r="B33" s="158" t="s">
        <v>89</v>
      </c>
      <c r="C33" s="34"/>
      <c r="D33" s="10"/>
      <c r="E33" s="10"/>
      <c r="F33" s="45">
        <f t="shared" si="0"/>
        <v>0</v>
      </c>
      <c r="G33" s="10"/>
      <c r="H33" s="9"/>
      <c r="I33" s="46">
        <f t="shared" si="19"/>
        <v>0</v>
      </c>
      <c r="J33" s="47" t="s">
        <v>169</v>
      </c>
      <c r="K33" s="48">
        <v>1.8</v>
      </c>
      <c r="L33" s="9"/>
      <c r="M33" s="47" t="s">
        <v>272</v>
      </c>
      <c r="N33" s="48" t="str">
        <f t="shared" si="22"/>
        <v/>
      </c>
      <c r="O33" s="49">
        <f t="shared" si="20"/>
        <v>0</v>
      </c>
      <c r="P33" s="50" t="str">
        <f t="shared" si="21"/>
        <v/>
      </c>
      <c r="Q33" s="165">
        <f t="shared" si="12"/>
        <v>0</v>
      </c>
      <c r="R33" s="165">
        <f t="shared" si="13"/>
        <v>0</v>
      </c>
      <c r="S33" s="165">
        <f t="shared" si="14"/>
        <v>0</v>
      </c>
      <c r="U33" s="163">
        <f t="shared" si="2"/>
        <v>0</v>
      </c>
      <c r="V33" s="163">
        <f t="shared" si="3"/>
        <v>0</v>
      </c>
      <c r="W33" s="163">
        <f t="shared" si="4"/>
        <v>0</v>
      </c>
      <c r="X33" s="163">
        <f t="shared" si="5"/>
        <v>0</v>
      </c>
      <c r="Y33" s="163">
        <f t="shared" si="6"/>
        <v>0</v>
      </c>
      <c r="Z33" s="163">
        <f t="shared" si="7"/>
        <v>0</v>
      </c>
      <c r="AA33" s="163">
        <f t="shared" si="15"/>
        <v>0</v>
      </c>
      <c r="AB33" s="163">
        <f t="shared" si="16"/>
        <v>0</v>
      </c>
      <c r="AC33" s="163">
        <f t="shared" si="17"/>
        <v>0</v>
      </c>
      <c r="AE33" s="51" t="s">
        <v>141</v>
      </c>
      <c r="AF33" s="55">
        <v>0.92</v>
      </c>
      <c r="AG33" s="33">
        <v>28</v>
      </c>
      <c r="AH33" s="33">
        <v>7</v>
      </c>
      <c r="AI33" s="33">
        <v>19.899999999999999</v>
      </c>
      <c r="AJ33" s="191" t="s">
        <v>131</v>
      </c>
      <c r="AK33" s="56">
        <v>0.86</v>
      </c>
      <c r="AL33" s="53">
        <v>9.5</v>
      </c>
      <c r="AM33" s="53">
        <v>2.1</v>
      </c>
      <c r="AN33" s="53">
        <v>39.6</v>
      </c>
      <c r="AP33" s="54"/>
      <c r="AQ33" s="54"/>
      <c r="AS33" s="39" t="b">
        <f t="shared" si="8"/>
        <v>0</v>
      </c>
      <c r="AU33" s="152">
        <f>Q33-'P25'!Q33</f>
        <v>0</v>
      </c>
      <c r="AV33" s="152">
        <f>R33-'P25'!R33</f>
        <v>0</v>
      </c>
      <c r="AW33" s="152">
        <f>S33-'P25'!S33</f>
        <v>0</v>
      </c>
    </row>
    <row r="34" spans="2:49" s="5" customFormat="1" ht="14.25" customHeight="1" x14ac:dyDescent="0.25">
      <c r="B34" s="158" t="s">
        <v>84</v>
      </c>
      <c r="C34" s="34"/>
      <c r="D34" s="10"/>
      <c r="E34" s="10"/>
      <c r="F34" s="45">
        <f t="shared" si="0"/>
        <v>0</v>
      </c>
      <c r="G34" s="10"/>
      <c r="H34" s="9"/>
      <c r="I34" s="46">
        <f t="shared" si="19"/>
        <v>0</v>
      </c>
      <c r="J34" s="47" t="s">
        <v>169</v>
      </c>
      <c r="K34" s="48">
        <v>1</v>
      </c>
      <c r="L34" s="9"/>
      <c r="M34" s="47" t="s">
        <v>272</v>
      </c>
      <c r="N34" s="48" t="str">
        <f t="shared" si="22"/>
        <v/>
      </c>
      <c r="O34" s="49">
        <f t="shared" si="20"/>
        <v>0</v>
      </c>
      <c r="P34" s="50" t="str">
        <f t="shared" si="21"/>
        <v/>
      </c>
      <c r="Q34" s="165">
        <f t="shared" si="12"/>
        <v>0</v>
      </c>
      <c r="R34" s="165">
        <f t="shared" si="13"/>
        <v>0</v>
      </c>
      <c r="S34" s="165">
        <f t="shared" si="14"/>
        <v>0</v>
      </c>
      <c r="U34" s="163">
        <f t="shared" si="2"/>
        <v>0</v>
      </c>
      <c r="V34" s="163">
        <f t="shared" si="3"/>
        <v>0</v>
      </c>
      <c r="W34" s="163">
        <f t="shared" si="4"/>
        <v>0</v>
      </c>
      <c r="X34" s="163">
        <f t="shared" si="5"/>
        <v>0</v>
      </c>
      <c r="Y34" s="163">
        <f t="shared" si="6"/>
        <v>0</v>
      </c>
      <c r="Z34" s="163">
        <f t="shared" si="7"/>
        <v>0</v>
      </c>
      <c r="AA34" s="163">
        <f t="shared" si="15"/>
        <v>0</v>
      </c>
      <c r="AB34" s="163">
        <f t="shared" si="16"/>
        <v>0</v>
      </c>
      <c r="AC34" s="163">
        <f t="shared" si="17"/>
        <v>0</v>
      </c>
      <c r="AE34" s="51" t="s">
        <v>141</v>
      </c>
      <c r="AF34" s="55">
        <v>0.86</v>
      </c>
      <c r="AG34" s="33">
        <v>54.6</v>
      </c>
      <c r="AH34" s="33">
        <v>7.3</v>
      </c>
      <c r="AI34" s="33">
        <v>18.899999999999999</v>
      </c>
      <c r="AJ34" s="191" t="s">
        <v>131</v>
      </c>
      <c r="AK34" s="56">
        <v>0.86</v>
      </c>
      <c r="AL34" s="53">
        <v>10.1</v>
      </c>
      <c r="AM34" s="53">
        <v>1.3</v>
      </c>
      <c r="AN34" s="53">
        <v>9.6</v>
      </c>
      <c r="AP34" s="127">
        <v>120</v>
      </c>
      <c r="AQ34" s="57">
        <f>D34*AP34</f>
        <v>0</v>
      </c>
      <c r="AS34" s="39" t="b">
        <f t="shared" si="8"/>
        <v>0</v>
      </c>
      <c r="AU34" s="152">
        <f>Q34-'P25'!Q34</f>
        <v>0</v>
      </c>
      <c r="AV34" s="152">
        <f>R34-'P25'!R34</f>
        <v>0</v>
      </c>
      <c r="AW34" s="152">
        <f>S34-'P25'!S34</f>
        <v>0</v>
      </c>
    </row>
    <row r="35" spans="2:49" s="5" customFormat="1" ht="14.25" customHeight="1" x14ac:dyDescent="0.25">
      <c r="B35" s="158" t="s">
        <v>85</v>
      </c>
      <c r="C35" s="34"/>
      <c r="D35" s="10"/>
      <c r="E35" s="10"/>
      <c r="F35" s="45">
        <f t="shared" si="0"/>
        <v>0</v>
      </c>
      <c r="G35" s="10"/>
      <c r="H35" s="9"/>
      <c r="I35" s="46">
        <f t="shared" si="19"/>
        <v>0</v>
      </c>
      <c r="J35" s="47" t="s">
        <v>169</v>
      </c>
      <c r="K35" s="48">
        <v>2.8</v>
      </c>
      <c r="L35" s="9"/>
      <c r="M35" s="47" t="s">
        <v>272</v>
      </c>
      <c r="N35" s="48" t="str">
        <f t="shared" si="22"/>
        <v/>
      </c>
      <c r="O35" s="49">
        <f t="shared" si="20"/>
        <v>0</v>
      </c>
      <c r="P35" s="50" t="str">
        <f t="shared" si="21"/>
        <v/>
      </c>
      <c r="Q35" s="165">
        <f t="shared" si="12"/>
        <v>0</v>
      </c>
      <c r="R35" s="165">
        <f t="shared" si="13"/>
        <v>0</v>
      </c>
      <c r="S35" s="165">
        <f t="shared" si="14"/>
        <v>0</v>
      </c>
      <c r="U35" s="163">
        <f t="shared" si="2"/>
        <v>0</v>
      </c>
      <c r="V35" s="163">
        <f t="shared" si="3"/>
        <v>0</v>
      </c>
      <c r="W35" s="163">
        <f t="shared" si="4"/>
        <v>0</v>
      </c>
      <c r="X35" s="163">
        <f t="shared" si="5"/>
        <v>0</v>
      </c>
      <c r="Y35" s="163">
        <f t="shared" si="6"/>
        <v>0</v>
      </c>
      <c r="Z35" s="163">
        <f t="shared" si="7"/>
        <v>0</v>
      </c>
      <c r="AA35" s="163">
        <f t="shared" si="15"/>
        <v>0</v>
      </c>
      <c r="AB35" s="163">
        <f t="shared" si="16"/>
        <v>0</v>
      </c>
      <c r="AC35" s="163">
        <f t="shared" si="17"/>
        <v>0</v>
      </c>
      <c r="AE35" s="51" t="s">
        <v>141</v>
      </c>
      <c r="AF35" s="55">
        <v>0.92</v>
      </c>
      <c r="AG35" s="33">
        <v>33.200000000000003</v>
      </c>
      <c r="AH35" s="33">
        <v>7.6</v>
      </c>
      <c r="AI35" s="33">
        <v>8.1999999999999993</v>
      </c>
      <c r="AJ35" s="191" t="s">
        <v>131</v>
      </c>
      <c r="AK35" s="56">
        <v>0.86</v>
      </c>
      <c r="AL35" s="53">
        <v>8.6</v>
      </c>
      <c r="AM35" s="53">
        <v>0.9</v>
      </c>
      <c r="AN35" s="53">
        <v>19.100000000000001</v>
      </c>
      <c r="AP35" s="54"/>
      <c r="AQ35" s="54"/>
      <c r="AS35" s="39" t="b">
        <f t="shared" si="8"/>
        <v>0</v>
      </c>
      <c r="AU35" s="152">
        <f>Q35-'P25'!Q35</f>
        <v>0</v>
      </c>
      <c r="AV35" s="152">
        <f>R35-'P25'!R35</f>
        <v>0</v>
      </c>
      <c r="AW35" s="152">
        <f>S35-'P25'!S35</f>
        <v>0</v>
      </c>
    </row>
    <row r="36" spans="2:49" s="5" customFormat="1" ht="14.25" customHeight="1" x14ac:dyDescent="0.25">
      <c r="B36" s="158" t="s">
        <v>90</v>
      </c>
      <c r="C36" s="34"/>
      <c r="D36" s="10"/>
      <c r="E36" s="10"/>
      <c r="F36" s="45">
        <f t="shared" si="0"/>
        <v>0</v>
      </c>
      <c r="G36" s="10"/>
      <c r="H36" s="9"/>
      <c r="I36" s="46">
        <f t="shared" si="19"/>
        <v>0</v>
      </c>
      <c r="J36" s="47" t="s">
        <v>169</v>
      </c>
      <c r="K36" s="48">
        <v>1.5</v>
      </c>
      <c r="L36" s="9"/>
      <c r="M36" s="47" t="s">
        <v>272</v>
      </c>
      <c r="N36" s="48" t="str">
        <f t="shared" si="22"/>
        <v/>
      </c>
      <c r="O36" s="49">
        <f t="shared" si="20"/>
        <v>0</v>
      </c>
      <c r="P36" s="50" t="str">
        <f t="shared" si="21"/>
        <v/>
      </c>
      <c r="Q36" s="165">
        <f t="shared" si="12"/>
        <v>0</v>
      </c>
      <c r="R36" s="165">
        <f t="shared" si="13"/>
        <v>0</v>
      </c>
      <c r="S36" s="165">
        <f t="shared" si="14"/>
        <v>0</v>
      </c>
      <c r="U36" s="163">
        <f t="shared" si="2"/>
        <v>0</v>
      </c>
      <c r="V36" s="163">
        <f t="shared" si="3"/>
        <v>0</v>
      </c>
      <c r="W36" s="163">
        <f t="shared" si="4"/>
        <v>0</v>
      </c>
      <c r="X36" s="163">
        <f t="shared" si="5"/>
        <v>0</v>
      </c>
      <c r="Y36" s="163">
        <f t="shared" si="6"/>
        <v>0</v>
      </c>
      <c r="Z36" s="163">
        <f t="shared" si="7"/>
        <v>0</v>
      </c>
      <c r="AA36" s="163">
        <f t="shared" si="15"/>
        <v>0</v>
      </c>
      <c r="AB36" s="163">
        <f t="shared" si="16"/>
        <v>0</v>
      </c>
      <c r="AC36" s="163">
        <f t="shared" si="17"/>
        <v>0</v>
      </c>
      <c r="AE36" s="51" t="s">
        <v>141</v>
      </c>
      <c r="AF36" s="55">
        <v>0.92</v>
      </c>
      <c r="AG36" s="33">
        <v>50</v>
      </c>
      <c r="AH36" s="33">
        <v>7.7</v>
      </c>
      <c r="AI36" s="33">
        <v>7.7</v>
      </c>
      <c r="AJ36" s="191" t="s">
        <v>131</v>
      </c>
      <c r="AK36" s="56">
        <v>0.86</v>
      </c>
      <c r="AL36" s="53">
        <v>7.1</v>
      </c>
      <c r="AM36" s="53">
        <v>1.7</v>
      </c>
      <c r="AN36" s="53">
        <v>21.1</v>
      </c>
      <c r="AP36" s="54"/>
      <c r="AQ36" s="54"/>
      <c r="AS36" s="39" t="b">
        <f t="shared" si="8"/>
        <v>0</v>
      </c>
      <c r="AU36" s="152">
        <f>Q36-'P25'!Q36</f>
        <v>0</v>
      </c>
      <c r="AV36" s="152">
        <f>R36-'P25'!R36</f>
        <v>0</v>
      </c>
      <c r="AW36" s="152">
        <f>S36-'P25'!S36</f>
        <v>0</v>
      </c>
    </row>
    <row r="37" spans="2:49" s="5" customFormat="1" ht="14.25" customHeight="1" x14ac:dyDescent="0.25">
      <c r="B37" s="158" t="s">
        <v>91</v>
      </c>
      <c r="C37" s="34"/>
      <c r="D37" s="10"/>
      <c r="E37" s="10"/>
      <c r="F37" s="45">
        <f t="shared" si="0"/>
        <v>0</v>
      </c>
      <c r="G37" s="10"/>
      <c r="H37" s="9"/>
      <c r="I37" s="46">
        <f t="shared" si="19"/>
        <v>0</v>
      </c>
      <c r="J37" s="47" t="s">
        <v>169</v>
      </c>
      <c r="K37" s="48">
        <v>1.5</v>
      </c>
      <c r="L37" s="9"/>
      <c r="M37" s="47" t="s">
        <v>272</v>
      </c>
      <c r="N37" s="48" t="str">
        <f t="shared" si="22"/>
        <v/>
      </c>
      <c r="O37" s="49">
        <f t="shared" si="20"/>
        <v>0</v>
      </c>
      <c r="P37" s="50" t="str">
        <f t="shared" si="21"/>
        <v/>
      </c>
      <c r="Q37" s="165">
        <f t="shared" si="12"/>
        <v>0</v>
      </c>
      <c r="R37" s="165">
        <f t="shared" si="13"/>
        <v>0</v>
      </c>
      <c r="S37" s="165">
        <f t="shared" si="14"/>
        <v>0</v>
      </c>
      <c r="U37" s="163">
        <f t="shared" si="2"/>
        <v>0</v>
      </c>
      <c r="V37" s="163">
        <f t="shared" si="3"/>
        <v>0</v>
      </c>
      <c r="W37" s="163">
        <f t="shared" si="4"/>
        <v>0</v>
      </c>
      <c r="X37" s="163">
        <f t="shared" si="5"/>
        <v>0</v>
      </c>
      <c r="Y37" s="163">
        <f t="shared" si="6"/>
        <v>0</v>
      </c>
      <c r="Z37" s="163">
        <f t="shared" si="7"/>
        <v>0</v>
      </c>
      <c r="AA37" s="163">
        <f t="shared" si="15"/>
        <v>0</v>
      </c>
      <c r="AB37" s="163">
        <f t="shared" si="16"/>
        <v>0</v>
      </c>
      <c r="AC37" s="163">
        <f t="shared" si="17"/>
        <v>0</v>
      </c>
      <c r="AE37" s="51" t="s">
        <v>141</v>
      </c>
      <c r="AF37" s="55">
        <v>0.92</v>
      </c>
      <c r="AG37" s="33">
        <v>33.6</v>
      </c>
      <c r="AH37" s="33">
        <v>6.6</v>
      </c>
      <c r="AI37" s="33">
        <v>8.3000000000000007</v>
      </c>
      <c r="AJ37" s="191" t="s">
        <v>134</v>
      </c>
      <c r="AK37" s="56">
        <v>0.86</v>
      </c>
      <c r="AL37" s="53">
        <v>5.3</v>
      </c>
      <c r="AM37" s="53">
        <v>1.4</v>
      </c>
      <c r="AN37" s="53">
        <v>12.1</v>
      </c>
      <c r="AP37" s="54"/>
      <c r="AQ37" s="54"/>
      <c r="AS37" s="39" t="b">
        <f t="shared" si="8"/>
        <v>0</v>
      </c>
      <c r="AU37" s="152">
        <f>Q37-'P25'!Q37</f>
        <v>0</v>
      </c>
      <c r="AV37" s="152">
        <f>R37-'P25'!R37</f>
        <v>0</v>
      </c>
      <c r="AW37" s="152">
        <f>S37-'P25'!S37</f>
        <v>0</v>
      </c>
    </row>
    <row r="38" spans="2:49" s="5" customFormat="1" ht="14.25" customHeight="1" x14ac:dyDescent="0.25">
      <c r="B38" s="158" t="s">
        <v>86</v>
      </c>
      <c r="C38" s="34"/>
      <c r="D38" s="10"/>
      <c r="E38" s="10"/>
      <c r="F38" s="45">
        <f t="shared" si="0"/>
        <v>0</v>
      </c>
      <c r="G38" s="10"/>
      <c r="H38" s="9"/>
      <c r="I38" s="46">
        <f t="shared" si="19"/>
        <v>0</v>
      </c>
      <c r="J38" s="47" t="s">
        <v>169</v>
      </c>
      <c r="K38" s="48">
        <v>1</v>
      </c>
      <c r="L38" s="9"/>
      <c r="M38" s="47" t="s">
        <v>272</v>
      </c>
      <c r="N38" s="48" t="str">
        <f t="shared" si="22"/>
        <v/>
      </c>
      <c r="O38" s="49">
        <f t="shared" si="20"/>
        <v>0</v>
      </c>
      <c r="P38" s="50" t="str">
        <f t="shared" si="21"/>
        <v/>
      </c>
      <c r="Q38" s="165">
        <f t="shared" si="12"/>
        <v>0</v>
      </c>
      <c r="R38" s="165">
        <f t="shared" si="13"/>
        <v>0</v>
      </c>
      <c r="S38" s="165">
        <f t="shared" si="14"/>
        <v>0</v>
      </c>
      <c r="U38" s="163">
        <f t="shared" si="2"/>
        <v>0</v>
      </c>
      <c r="V38" s="163">
        <f t="shared" si="3"/>
        <v>0</v>
      </c>
      <c r="W38" s="163">
        <f t="shared" si="4"/>
        <v>0</v>
      </c>
      <c r="X38" s="163">
        <f t="shared" si="5"/>
        <v>0</v>
      </c>
      <c r="Y38" s="163">
        <f t="shared" si="6"/>
        <v>0</v>
      </c>
      <c r="Z38" s="163">
        <f t="shared" si="7"/>
        <v>0</v>
      </c>
      <c r="AA38" s="163">
        <f t="shared" si="15"/>
        <v>0</v>
      </c>
      <c r="AB38" s="163">
        <f t="shared" si="16"/>
        <v>0</v>
      </c>
      <c r="AC38" s="163">
        <f t="shared" si="17"/>
        <v>0</v>
      </c>
      <c r="AE38" s="51" t="s">
        <v>141</v>
      </c>
      <c r="AF38" s="55">
        <v>0.92</v>
      </c>
      <c r="AG38" s="33">
        <v>24.9</v>
      </c>
      <c r="AH38" s="33">
        <v>4.5999999999999996</v>
      </c>
      <c r="AI38" s="33">
        <v>5.8</v>
      </c>
      <c r="AJ38" s="191" t="s">
        <v>131</v>
      </c>
      <c r="AK38" s="56">
        <v>0.86</v>
      </c>
      <c r="AL38" s="53">
        <v>9.5</v>
      </c>
      <c r="AM38" s="53">
        <v>1.7</v>
      </c>
      <c r="AN38" s="53">
        <v>14.1</v>
      </c>
      <c r="AP38" s="54"/>
      <c r="AQ38" s="54"/>
      <c r="AS38" s="39" t="b">
        <f t="shared" si="8"/>
        <v>0</v>
      </c>
      <c r="AU38" s="152">
        <f>Q38-'P25'!Q38</f>
        <v>0</v>
      </c>
      <c r="AV38" s="152">
        <f>R38-'P25'!R38</f>
        <v>0</v>
      </c>
      <c r="AW38" s="152">
        <f>S38-'P25'!S38</f>
        <v>0</v>
      </c>
    </row>
    <row r="39" spans="2:49" s="5" customFormat="1" ht="14.25" customHeight="1" x14ac:dyDescent="0.25">
      <c r="B39" s="158" t="s">
        <v>438</v>
      </c>
      <c r="C39" s="34"/>
      <c r="D39" s="10"/>
      <c r="E39" s="10"/>
      <c r="F39" s="45">
        <f t="shared" si="0"/>
        <v>0</v>
      </c>
      <c r="G39" s="10"/>
      <c r="H39" s="9"/>
      <c r="I39" s="46">
        <f t="shared" si="19"/>
        <v>0</v>
      </c>
      <c r="J39" s="47" t="s">
        <v>169</v>
      </c>
      <c r="K39" s="48">
        <v>1.5</v>
      </c>
      <c r="L39" s="9"/>
      <c r="M39" s="47" t="s">
        <v>272</v>
      </c>
      <c r="N39" s="48" t="str">
        <f t="shared" si="22"/>
        <v/>
      </c>
      <c r="O39" s="49">
        <f t="shared" si="20"/>
        <v>0</v>
      </c>
      <c r="P39" s="50" t="str">
        <f t="shared" si="21"/>
        <v/>
      </c>
      <c r="Q39" s="165">
        <f t="shared" si="12"/>
        <v>0</v>
      </c>
      <c r="R39" s="165">
        <f t="shared" si="13"/>
        <v>0</v>
      </c>
      <c r="S39" s="165">
        <f t="shared" si="14"/>
        <v>0</v>
      </c>
      <c r="U39" s="163">
        <f t="shared" si="2"/>
        <v>0</v>
      </c>
      <c r="V39" s="163">
        <f t="shared" si="3"/>
        <v>0</v>
      </c>
      <c r="W39" s="163">
        <f t="shared" si="4"/>
        <v>0</v>
      </c>
      <c r="X39" s="163">
        <f t="shared" si="5"/>
        <v>0</v>
      </c>
      <c r="Y39" s="163">
        <f t="shared" si="6"/>
        <v>0</v>
      </c>
      <c r="Z39" s="163">
        <f t="shared" si="7"/>
        <v>0</v>
      </c>
      <c r="AA39" s="163">
        <f t="shared" si="15"/>
        <v>0</v>
      </c>
      <c r="AB39" s="163">
        <f t="shared" si="16"/>
        <v>0</v>
      </c>
      <c r="AC39" s="163">
        <f t="shared" si="17"/>
        <v>0</v>
      </c>
      <c r="AE39" s="51" t="s">
        <v>141</v>
      </c>
      <c r="AF39" s="55">
        <v>0.92</v>
      </c>
      <c r="AG39" s="33">
        <v>33</v>
      </c>
      <c r="AH39" s="33">
        <v>7</v>
      </c>
      <c r="AI39" s="33">
        <v>8</v>
      </c>
      <c r="AJ39" s="191" t="s">
        <v>131</v>
      </c>
      <c r="AK39" s="56">
        <v>0.86</v>
      </c>
      <c r="AL39" s="53">
        <v>6</v>
      </c>
      <c r="AM39" s="53">
        <v>1.5</v>
      </c>
      <c r="AN39" s="53">
        <v>17</v>
      </c>
      <c r="AP39" s="54"/>
      <c r="AQ39" s="54"/>
      <c r="AS39" s="39" t="b">
        <f t="shared" si="8"/>
        <v>0</v>
      </c>
      <c r="AU39" s="152">
        <f>Q39-'P25'!Q39</f>
        <v>0</v>
      </c>
      <c r="AV39" s="152">
        <f>R39-'P25'!R39</f>
        <v>0</v>
      </c>
      <c r="AW39" s="152">
        <f>S39-'P25'!S39</f>
        <v>0</v>
      </c>
    </row>
    <row r="40" spans="2:49" s="5" customFormat="1" ht="14.25" customHeight="1" x14ac:dyDescent="0.25">
      <c r="B40" s="158" t="s">
        <v>142</v>
      </c>
      <c r="C40" s="34"/>
      <c r="D40" s="10"/>
      <c r="E40" s="10"/>
      <c r="F40" s="45">
        <f t="shared" si="0"/>
        <v>0</v>
      </c>
      <c r="G40" s="10"/>
      <c r="H40" s="9"/>
      <c r="I40" s="46">
        <f t="shared" si="19"/>
        <v>0</v>
      </c>
      <c r="J40" s="47" t="s">
        <v>169</v>
      </c>
      <c r="K40" s="48">
        <v>1.5</v>
      </c>
      <c r="L40" s="9"/>
      <c r="M40" s="47" t="s">
        <v>272</v>
      </c>
      <c r="N40" s="48" t="str">
        <f t="shared" si="22"/>
        <v/>
      </c>
      <c r="O40" s="49">
        <f t="shared" si="20"/>
        <v>0</v>
      </c>
      <c r="P40" s="50" t="str">
        <f t="shared" si="21"/>
        <v/>
      </c>
      <c r="Q40" s="165">
        <f t="shared" si="12"/>
        <v>0</v>
      </c>
      <c r="R40" s="165">
        <f t="shared" si="13"/>
        <v>0</v>
      </c>
      <c r="S40" s="165">
        <f t="shared" si="14"/>
        <v>0</v>
      </c>
      <c r="U40" s="163">
        <f t="shared" si="2"/>
        <v>0</v>
      </c>
      <c r="V40" s="163">
        <f t="shared" si="3"/>
        <v>0</v>
      </c>
      <c r="W40" s="163">
        <f t="shared" si="4"/>
        <v>0</v>
      </c>
      <c r="X40" s="163">
        <f t="shared" si="5"/>
        <v>0</v>
      </c>
      <c r="Y40" s="163">
        <f t="shared" si="6"/>
        <v>0</v>
      </c>
      <c r="Z40" s="163">
        <f t="shared" si="7"/>
        <v>0</v>
      </c>
      <c r="AA40" s="163">
        <f t="shared" si="15"/>
        <v>0</v>
      </c>
      <c r="AB40" s="163">
        <f t="shared" si="16"/>
        <v>0</v>
      </c>
      <c r="AC40" s="163">
        <f t="shared" si="17"/>
        <v>0</v>
      </c>
      <c r="AE40" s="51" t="s">
        <v>141</v>
      </c>
      <c r="AF40" s="55">
        <v>0.92</v>
      </c>
      <c r="AG40" s="33">
        <v>33</v>
      </c>
      <c r="AH40" s="33">
        <v>7</v>
      </c>
      <c r="AI40" s="33">
        <v>8</v>
      </c>
      <c r="AJ40" s="191" t="s">
        <v>131</v>
      </c>
      <c r="AK40" s="56">
        <v>0.86</v>
      </c>
      <c r="AL40" s="53">
        <v>6</v>
      </c>
      <c r="AM40" s="53">
        <v>1.5</v>
      </c>
      <c r="AN40" s="53">
        <v>17</v>
      </c>
      <c r="AP40" s="54"/>
      <c r="AQ40" s="54"/>
      <c r="AS40" s="39" t="b">
        <f t="shared" si="8"/>
        <v>0</v>
      </c>
      <c r="AU40" s="152">
        <f>Q40-'P25'!Q40</f>
        <v>0</v>
      </c>
      <c r="AV40" s="152">
        <f>R40-'P25'!R40</f>
        <v>0</v>
      </c>
      <c r="AW40" s="152">
        <f>S40-'P25'!S40</f>
        <v>0</v>
      </c>
    </row>
    <row r="41" spans="2:49" s="5" customFormat="1" ht="14.25" customHeight="1" x14ac:dyDescent="0.25">
      <c r="B41" s="158" t="s">
        <v>185</v>
      </c>
      <c r="C41" s="35" t="s">
        <v>177</v>
      </c>
      <c r="D41" s="10"/>
      <c r="E41" s="10"/>
      <c r="F41" s="45">
        <f t="shared" si="0"/>
        <v>0</v>
      </c>
      <c r="G41" s="10"/>
      <c r="H41" s="58"/>
      <c r="I41" s="58"/>
      <c r="J41" s="64"/>
      <c r="K41" s="65"/>
      <c r="L41" s="58"/>
      <c r="M41" s="60"/>
      <c r="N41" s="61" t="str">
        <f t="shared" si="22"/>
        <v/>
      </c>
      <c r="O41" s="62"/>
      <c r="P41" s="63" t="str">
        <f t="shared" si="21"/>
        <v/>
      </c>
      <c r="Q41" s="165">
        <f t="shared" si="12"/>
        <v>0</v>
      </c>
      <c r="R41" s="165">
        <f t="shared" si="13"/>
        <v>0</v>
      </c>
      <c r="S41" s="165">
        <f t="shared" si="14"/>
        <v>0</v>
      </c>
      <c r="U41" s="163">
        <f t="shared" ref="U41:U71" si="23">IF($G41=0,$F41*$D41*AG41,$G41*$D41*AG41)</f>
        <v>0</v>
      </c>
      <c r="V41" s="163">
        <f t="shared" ref="V41:V71" si="24">IF($G41=0,$F41*$D41*AH41,$G41*$D41*AH41)</f>
        <v>0</v>
      </c>
      <c r="W41" s="163">
        <f t="shared" ref="W41:W71" si="25">IF($G41=0,$F41*$D41*AI41,$G41*$D41*AI41)</f>
        <v>0</v>
      </c>
      <c r="X41" s="163">
        <f t="shared" ref="X41:X71" si="26">IF($L41=0,$I41*AL41,$L41*AL41)</f>
        <v>0</v>
      </c>
      <c r="Y41" s="163">
        <f t="shared" ref="Y41:Y71" si="27">IF($L41=0,$I41*AM41,$L41*AM41)</f>
        <v>0</v>
      </c>
      <c r="Z41" s="163">
        <f t="shared" ref="Z41:Z71" si="28">IF($L41=0,$I41*AN41,$L41*AN41)</f>
        <v>0</v>
      </c>
      <c r="AA41" s="163">
        <f t="shared" si="15"/>
        <v>0</v>
      </c>
      <c r="AB41" s="163">
        <f t="shared" si="16"/>
        <v>0</v>
      </c>
      <c r="AC41" s="163">
        <f t="shared" si="17"/>
        <v>0</v>
      </c>
      <c r="AE41" s="51" t="s">
        <v>135</v>
      </c>
      <c r="AF41" s="55">
        <v>0.35</v>
      </c>
      <c r="AG41" s="33">
        <v>4.7</v>
      </c>
      <c r="AH41" s="33">
        <v>0.7</v>
      </c>
      <c r="AI41" s="33">
        <v>4.4000000000000004</v>
      </c>
      <c r="AJ41" s="192"/>
      <c r="AK41" s="66"/>
      <c r="AL41" s="54"/>
      <c r="AM41" s="54"/>
      <c r="AN41" s="54"/>
      <c r="AP41" s="54"/>
      <c r="AQ41" s="54"/>
      <c r="AS41" s="39" t="b">
        <f t="shared" ref="AS41:AS71" si="29">AND(H41=0,L41&gt;0)</f>
        <v>0</v>
      </c>
      <c r="AU41" s="152">
        <f>Q41-'P25'!Q41</f>
        <v>0</v>
      </c>
      <c r="AV41" s="152">
        <f>R41-'P25'!R41</f>
        <v>0</v>
      </c>
      <c r="AW41" s="152">
        <f>S41-'P25'!S41</f>
        <v>0</v>
      </c>
    </row>
    <row r="42" spans="2:49" s="5" customFormat="1" ht="14.25" customHeight="1" x14ac:dyDescent="0.25">
      <c r="B42" s="158" t="s">
        <v>443</v>
      </c>
      <c r="C42" s="35" t="s">
        <v>177</v>
      </c>
      <c r="D42" s="10"/>
      <c r="E42" s="10"/>
      <c r="F42" s="45">
        <f t="shared" si="0"/>
        <v>0</v>
      </c>
      <c r="G42" s="10"/>
      <c r="H42" s="58"/>
      <c r="I42" s="58"/>
      <c r="J42" s="64"/>
      <c r="K42" s="65"/>
      <c r="L42" s="58"/>
      <c r="M42" s="60"/>
      <c r="N42" s="61" t="str">
        <f t="shared" si="22"/>
        <v/>
      </c>
      <c r="O42" s="62"/>
      <c r="P42" s="63"/>
      <c r="Q42" s="165">
        <f t="shared" si="12"/>
        <v>0</v>
      </c>
      <c r="R42" s="165">
        <f t="shared" si="13"/>
        <v>0</v>
      </c>
      <c r="S42" s="165">
        <f t="shared" si="14"/>
        <v>0</v>
      </c>
      <c r="U42" s="163">
        <f t="shared" si="23"/>
        <v>0</v>
      </c>
      <c r="V42" s="163">
        <f t="shared" si="24"/>
        <v>0</v>
      </c>
      <c r="W42" s="163">
        <f t="shared" si="25"/>
        <v>0</v>
      </c>
      <c r="X42" s="163">
        <f t="shared" si="26"/>
        <v>0</v>
      </c>
      <c r="Y42" s="163">
        <f t="shared" si="27"/>
        <v>0</v>
      </c>
      <c r="Z42" s="163">
        <f t="shared" si="28"/>
        <v>0</v>
      </c>
      <c r="AA42" s="163">
        <f t="shared" si="15"/>
        <v>0</v>
      </c>
      <c r="AB42" s="163">
        <f t="shared" si="16"/>
        <v>0</v>
      </c>
      <c r="AC42" s="163">
        <f t="shared" si="17"/>
        <v>0</v>
      </c>
      <c r="AE42" s="51" t="s">
        <v>135</v>
      </c>
      <c r="AF42" s="55">
        <v>0.35</v>
      </c>
      <c r="AG42" s="33">
        <v>4.7</v>
      </c>
      <c r="AH42" s="33">
        <v>0.7</v>
      </c>
      <c r="AI42" s="33">
        <v>4.4000000000000004</v>
      </c>
      <c r="AJ42" s="192"/>
      <c r="AK42" s="66"/>
      <c r="AL42" s="54"/>
      <c r="AM42" s="54"/>
      <c r="AN42" s="54"/>
      <c r="AP42" s="54"/>
      <c r="AQ42" s="54"/>
      <c r="AS42" s="39" t="b">
        <f t="shared" si="29"/>
        <v>0</v>
      </c>
      <c r="AU42" s="152">
        <f>Q42-'P25'!Q42</f>
        <v>0</v>
      </c>
      <c r="AV42" s="152">
        <f>R42-'P25'!R42</f>
        <v>0</v>
      </c>
      <c r="AW42" s="152">
        <f>S42-'P25'!S42</f>
        <v>0</v>
      </c>
    </row>
    <row r="43" spans="2:49" s="5" customFormat="1" ht="14.25" customHeight="1" x14ac:dyDescent="0.25">
      <c r="B43" s="158" t="s">
        <v>154</v>
      </c>
      <c r="C43" s="35" t="s">
        <v>177</v>
      </c>
      <c r="D43" s="10"/>
      <c r="E43" s="10"/>
      <c r="F43" s="45">
        <f t="shared" si="0"/>
        <v>0</v>
      </c>
      <c r="G43" s="10"/>
      <c r="H43" s="58"/>
      <c r="I43" s="58"/>
      <c r="J43" s="64"/>
      <c r="K43" s="65"/>
      <c r="L43" s="58"/>
      <c r="M43" s="60"/>
      <c r="N43" s="61" t="str">
        <f t="shared" si="22"/>
        <v/>
      </c>
      <c r="O43" s="62"/>
      <c r="P43" s="63"/>
      <c r="Q43" s="165">
        <f t="shared" si="12"/>
        <v>0</v>
      </c>
      <c r="R43" s="165">
        <f t="shared" si="13"/>
        <v>0</v>
      </c>
      <c r="S43" s="165">
        <f t="shared" si="14"/>
        <v>0</v>
      </c>
      <c r="U43" s="163">
        <f t="shared" si="23"/>
        <v>0</v>
      </c>
      <c r="V43" s="163">
        <f t="shared" si="24"/>
        <v>0</v>
      </c>
      <c r="W43" s="163">
        <f t="shared" si="25"/>
        <v>0</v>
      </c>
      <c r="X43" s="163">
        <f t="shared" si="26"/>
        <v>0</v>
      </c>
      <c r="Y43" s="163">
        <f t="shared" si="27"/>
        <v>0</v>
      </c>
      <c r="Z43" s="163">
        <f t="shared" si="28"/>
        <v>0</v>
      </c>
      <c r="AA43" s="163">
        <f t="shared" si="15"/>
        <v>0</v>
      </c>
      <c r="AB43" s="163">
        <f t="shared" si="16"/>
        <v>0</v>
      </c>
      <c r="AC43" s="163">
        <f t="shared" si="17"/>
        <v>0</v>
      </c>
      <c r="AE43" s="51" t="s">
        <v>135</v>
      </c>
      <c r="AF43" s="55">
        <v>0.35</v>
      </c>
      <c r="AG43" s="33">
        <v>4.4000000000000004</v>
      </c>
      <c r="AH43" s="33">
        <v>0.7</v>
      </c>
      <c r="AI43" s="33">
        <v>4</v>
      </c>
      <c r="AJ43" s="192"/>
      <c r="AK43" s="66"/>
      <c r="AL43" s="54"/>
      <c r="AM43" s="54"/>
      <c r="AN43" s="54"/>
      <c r="AP43" s="54"/>
      <c r="AQ43" s="54"/>
      <c r="AS43" s="39" t="b">
        <f t="shared" si="29"/>
        <v>0</v>
      </c>
      <c r="AU43" s="152">
        <f>Q43-'P25'!Q43</f>
        <v>0</v>
      </c>
      <c r="AV43" s="152">
        <f>R43-'P25'!R43</f>
        <v>0</v>
      </c>
      <c r="AW43" s="152">
        <f>S43-'P25'!S43</f>
        <v>0</v>
      </c>
    </row>
    <row r="44" spans="2:49" s="5" customFormat="1" ht="14.25" customHeight="1" x14ac:dyDescent="0.25">
      <c r="B44" s="158" t="s">
        <v>442</v>
      </c>
      <c r="C44" s="35" t="s">
        <v>205</v>
      </c>
      <c r="D44" s="10"/>
      <c r="E44" s="10"/>
      <c r="F44" s="45">
        <f t="shared" si="0"/>
        <v>0</v>
      </c>
      <c r="G44" s="10"/>
      <c r="H44" s="58"/>
      <c r="I44" s="58"/>
      <c r="J44" s="64"/>
      <c r="K44" s="65"/>
      <c r="L44" s="58"/>
      <c r="M44" s="60"/>
      <c r="N44" s="61" t="str">
        <f t="shared" si="22"/>
        <v/>
      </c>
      <c r="O44" s="62"/>
      <c r="P44" s="63"/>
      <c r="Q44" s="165">
        <f t="shared" si="12"/>
        <v>0</v>
      </c>
      <c r="R44" s="165">
        <f t="shared" si="13"/>
        <v>0</v>
      </c>
      <c r="S44" s="165">
        <f t="shared" si="14"/>
        <v>0</v>
      </c>
      <c r="U44" s="163">
        <f t="shared" si="23"/>
        <v>0</v>
      </c>
      <c r="V44" s="163">
        <f t="shared" si="24"/>
        <v>0</v>
      </c>
      <c r="W44" s="163">
        <f t="shared" si="25"/>
        <v>0</v>
      </c>
      <c r="X44" s="163">
        <f t="shared" si="26"/>
        <v>0</v>
      </c>
      <c r="Y44" s="163">
        <f t="shared" si="27"/>
        <v>0</v>
      </c>
      <c r="Z44" s="163">
        <f t="shared" si="28"/>
        <v>0</v>
      </c>
      <c r="AA44" s="163">
        <f t="shared" si="15"/>
        <v>0</v>
      </c>
      <c r="AB44" s="163">
        <f t="shared" si="16"/>
        <v>0</v>
      </c>
      <c r="AC44" s="163">
        <f t="shared" si="17"/>
        <v>0</v>
      </c>
      <c r="AE44" s="51" t="s">
        <v>135</v>
      </c>
      <c r="AF44" s="55">
        <v>0.17</v>
      </c>
      <c r="AG44" s="33">
        <v>4.4000000000000004</v>
      </c>
      <c r="AH44" s="33">
        <v>0.6</v>
      </c>
      <c r="AI44" s="33">
        <v>4.7</v>
      </c>
      <c r="AJ44" s="192"/>
      <c r="AK44" s="66"/>
      <c r="AL44" s="54"/>
      <c r="AM44" s="54"/>
      <c r="AN44" s="54"/>
      <c r="AP44" s="54"/>
      <c r="AQ44" s="54"/>
      <c r="AS44" s="39" t="b">
        <f t="shared" si="29"/>
        <v>0</v>
      </c>
      <c r="AU44" s="152">
        <f>Q44-'P25'!Q44</f>
        <v>0</v>
      </c>
      <c r="AV44" s="152">
        <f>R44-'P25'!R44</f>
        <v>0</v>
      </c>
      <c r="AW44" s="152">
        <f>S44-'P25'!S44</f>
        <v>0</v>
      </c>
    </row>
    <row r="45" spans="2:49" s="5" customFormat="1" ht="14.25" customHeight="1" x14ac:dyDescent="0.25">
      <c r="B45" s="158" t="s">
        <v>155</v>
      </c>
      <c r="C45" s="35" t="s">
        <v>205</v>
      </c>
      <c r="D45" s="10"/>
      <c r="E45" s="10"/>
      <c r="F45" s="45">
        <f t="shared" si="0"/>
        <v>0</v>
      </c>
      <c r="G45" s="10"/>
      <c r="H45" s="58"/>
      <c r="I45" s="58"/>
      <c r="J45" s="64"/>
      <c r="K45" s="65"/>
      <c r="L45" s="58"/>
      <c r="M45" s="60"/>
      <c r="N45" s="61" t="str">
        <f t="shared" si="22"/>
        <v/>
      </c>
      <c r="O45" s="62"/>
      <c r="P45" s="63"/>
      <c r="Q45" s="165">
        <f t="shared" si="12"/>
        <v>0</v>
      </c>
      <c r="R45" s="165">
        <f t="shared" si="13"/>
        <v>0</v>
      </c>
      <c r="S45" s="165">
        <f t="shared" si="14"/>
        <v>0</v>
      </c>
      <c r="U45" s="163">
        <f t="shared" si="23"/>
        <v>0</v>
      </c>
      <c r="V45" s="163">
        <f t="shared" si="24"/>
        <v>0</v>
      </c>
      <c r="W45" s="163">
        <f t="shared" si="25"/>
        <v>0</v>
      </c>
      <c r="X45" s="163">
        <f t="shared" si="26"/>
        <v>0</v>
      </c>
      <c r="Y45" s="163">
        <f t="shared" si="27"/>
        <v>0</v>
      </c>
      <c r="Z45" s="163">
        <f t="shared" si="28"/>
        <v>0</v>
      </c>
      <c r="AA45" s="163">
        <f t="shared" si="15"/>
        <v>0</v>
      </c>
      <c r="AB45" s="163">
        <f t="shared" si="16"/>
        <v>0</v>
      </c>
      <c r="AC45" s="163">
        <f t="shared" si="17"/>
        <v>0</v>
      </c>
      <c r="AE45" s="51" t="s">
        <v>135</v>
      </c>
      <c r="AF45" s="55">
        <v>0.17</v>
      </c>
      <c r="AG45" s="33">
        <v>4.5999999999999996</v>
      </c>
      <c r="AH45" s="33">
        <v>0.6</v>
      </c>
      <c r="AI45" s="33">
        <v>3.7</v>
      </c>
      <c r="AJ45" s="192"/>
      <c r="AK45" s="67"/>
      <c r="AL45" s="54"/>
      <c r="AM45" s="54"/>
      <c r="AN45" s="54"/>
      <c r="AP45" s="127">
        <v>80</v>
      </c>
      <c r="AQ45" s="57">
        <f>D45*AP45</f>
        <v>0</v>
      </c>
      <c r="AS45" s="39" t="b">
        <f t="shared" si="29"/>
        <v>0</v>
      </c>
      <c r="AU45" s="152">
        <f>Q45-'P25'!Q45</f>
        <v>0</v>
      </c>
      <c r="AV45" s="152">
        <f>R45-'P25'!R45</f>
        <v>0</v>
      </c>
      <c r="AW45" s="152">
        <f>S45-'P25'!S45</f>
        <v>0</v>
      </c>
    </row>
    <row r="46" spans="2:49" s="5" customFormat="1" ht="14.25" customHeight="1" x14ac:dyDescent="0.25">
      <c r="B46" s="158" t="s">
        <v>156</v>
      </c>
      <c r="C46" s="35" t="s">
        <v>205</v>
      </c>
      <c r="D46" s="10"/>
      <c r="E46" s="10"/>
      <c r="F46" s="45">
        <f t="shared" si="0"/>
        <v>0</v>
      </c>
      <c r="G46" s="10"/>
      <c r="H46" s="58"/>
      <c r="I46" s="58"/>
      <c r="J46" s="64"/>
      <c r="K46" s="65"/>
      <c r="L46" s="58"/>
      <c r="M46" s="60"/>
      <c r="N46" s="61" t="str">
        <f t="shared" si="22"/>
        <v/>
      </c>
      <c r="O46" s="62"/>
      <c r="P46" s="63"/>
      <c r="Q46" s="165">
        <f t="shared" si="12"/>
        <v>0</v>
      </c>
      <c r="R46" s="165">
        <f t="shared" si="13"/>
        <v>0</v>
      </c>
      <c r="S46" s="165">
        <f t="shared" si="14"/>
        <v>0</v>
      </c>
      <c r="U46" s="163">
        <f t="shared" si="23"/>
        <v>0</v>
      </c>
      <c r="V46" s="163">
        <f t="shared" si="24"/>
        <v>0</v>
      </c>
      <c r="W46" s="163">
        <f t="shared" si="25"/>
        <v>0</v>
      </c>
      <c r="X46" s="163">
        <f t="shared" si="26"/>
        <v>0</v>
      </c>
      <c r="Y46" s="163">
        <f t="shared" si="27"/>
        <v>0</v>
      </c>
      <c r="Z46" s="163">
        <f t="shared" si="28"/>
        <v>0</v>
      </c>
      <c r="AA46" s="163">
        <f t="shared" si="15"/>
        <v>0</v>
      </c>
      <c r="AB46" s="163">
        <f t="shared" si="16"/>
        <v>0</v>
      </c>
      <c r="AC46" s="163">
        <f t="shared" si="17"/>
        <v>0</v>
      </c>
      <c r="AE46" s="51" t="s">
        <v>135</v>
      </c>
      <c r="AF46" s="55">
        <v>0.17</v>
      </c>
      <c r="AG46" s="33">
        <v>3.8</v>
      </c>
      <c r="AH46" s="33">
        <v>0.5</v>
      </c>
      <c r="AI46" s="33">
        <v>3.3</v>
      </c>
      <c r="AJ46" s="192"/>
      <c r="AK46" s="67"/>
      <c r="AL46" s="54"/>
      <c r="AM46" s="54"/>
      <c r="AN46" s="54"/>
      <c r="AP46" s="127">
        <v>80</v>
      </c>
      <c r="AQ46" s="57">
        <f>D46*AP46</f>
        <v>0</v>
      </c>
      <c r="AS46" s="39" t="b">
        <f t="shared" si="29"/>
        <v>0</v>
      </c>
      <c r="AU46" s="152">
        <f>Q46-'P25'!Q46</f>
        <v>0</v>
      </c>
      <c r="AV46" s="152">
        <f>R46-'P25'!R46</f>
        <v>0</v>
      </c>
      <c r="AW46" s="152">
        <f>S46-'P25'!S46</f>
        <v>0</v>
      </c>
    </row>
    <row r="47" spans="2:49" s="5" customFormat="1" ht="14.25" customHeight="1" x14ac:dyDescent="0.25">
      <c r="B47" s="158" t="s">
        <v>148</v>
      </c>
      <c r="C47" s="35" t="s">
        <v>205</v>
      </c>
      <c r="D47" s="10"/>
      <c r="E47" s="10"/>
      <c r="F47" s="45">
        <f t="shared" si="0"/>
        <v>0</v>
      </c>
      <c r="G47" s="10"/>
      <c r="H47" s="58"/>
      <c r="I47" s="58"/>
      <c r="J47" s="64"/>
      <c r="K47" s="65"/>
      <c r="L47" s="58"/>
      <c r="M47" s="60"/>
      <c r="N47" s="61" t="str">
        <f t="shared" si="22"/>
        <v/>
      </c>
      <c r="O47" s="62"/>
      <c r="P47" s="63"/>
      <c r="Q47" s="165">
        <f t="shared" si="12"/>
        <v>0</v>
      </c>
      <c r="R47" s="165">
        <f t="shared" si="13"/>
        <v>0</v>
      </c>
      <c r="S47" s="165">
        <f t="shared" si="14"/>
        <v>0</v>
      </c>
      <c r="U47" s="163">
        <f t="shared" si="23"/>
        <v>0</v>
      </c>
      <c r="V47" s="163">
        <f t="shared" si="24"/>
        <v>0</v>
      </c>
      <c r="W47" s="163">
        <f t="shared" si="25"/>
        <v>0</v>
      </c>
      <c r="X47" s="163">
        <f t="shared" si="26"/>
        <v>0</v>
      </c>
      <c r="Y47" s="163">
        <f t="shared" si="27"/>
        <v>0</v>
      </c>
      <c r="Z47" s="163">
        <f t="shared" si="28"/>
        <v>0</v>
      </c>
      <c r="AA47" s="163">
        <f t="shared" si="15"/>
        <v>0</v>
      </c>
      <c r="AB47" s="163">
        <f t="shared" si="16"/>
        <v>0</v>
      </c>
      <c r="AC47" s="163">
        <f t="shared" si="17"/>
        <v>0</v>
      </c>
      <c r="AE47" s="51" t="s">
        <v>135</v>
      </c>
      <c r="AF47" s="55">
        <v>0.17</v>
      </c>
      <c r="AG47" s="33">
        <v>4</v>
      </c>
      <c r="AH47" s="33">
        <v>0.6</v>
      </c>
      <c r="AI47" s="33">
        <v>4.5</v>
      </c>
      <c r="AJ47" s="192"/>
      <c r="AK47" s="67"/>
      <c r="AL47" s="54"/>
      <c r="AM47" s="54"/>
      <c r="AN47" s="54"/>
      <c r="AP47" s="127">
        <v>80</v>
      </c>
      <c r="AQ47" s="57">
        <f>D47*AP47</f>
        <v>0</v>
      </c>
      <c r="AS47" s="39" t="b">
        <f t="shared" si="29"/>
        <v>0</v>
      </c>
      <c r="AU47" s="152">
        <f>Q47-'P25'!Q47</f>
        <v>0</v>
      </c>
      <c r="AV47" s="152">
        <f>R47-'P25'!R47</f>
        <v>0</v>
      </c>
      <c r="AW47" s="152">
        <f>S47-'P25'!S47</f>
        <v>0</v>
      </c>
    </row>
    <row r="48" spans="2:49" s="5" customFormat="1" ht="14.25" customHeight="1" x14ac:dyDescent="0.25">
      <c r="B48" s="158" t="s">
        <v>157</v>
      </c>
      <c r="C48" s="35" t="s">
        <v>205</v>
      </c>
      <c r="D48" s="10"/>
      <c r="E48" s="10"/>
      <c r="F48" s="45">
        <f t="shared" si="0"/>
        <v>0</v>
      </c>
      <c r="G48" s="10"/>
      <c r="H48" s="58"/>
      <c r="I48" s="58"/>
      <c r="J48" s="64"/>
      <c r="K48" s="65"/>
      <c r="L48" s="58"/>
      <c r="M48" s="60"/>
      <c r="N48" s="61" t="str">
        <f t="shared" si="22"/>
        <v/>
      </c>
      <c r="O48" s="62"/>
      <c r="P48" s="63"/>
      <c r="Q48" s="165">
        <f t="shared" si="12"/>
        <v>0</v>
      </c>
      <c r="R48" s="165">
        <f t="shared" si="13"/>
        <v>0</v>
      </c>
      <c r="S48" s="165">
        <f t="shared" si="14"/>
        <v>0</v>
      </c>
      <c r="U48" s="163">
        <f t="shared" si="23"/>
        <v>0</v>
      </c>
      <c r="V48" s="163">
        <f t="shared" si="24"/>
        <v>0</v>
      </c>
      <c r="W48" s="163">
        <f t="shared" si="25"/>
        <v>0</v>
      </c>
      <c r="X48" s="163">
        <f t="shared" si="26"/>
        <v>0</v>
      </c>
      <c r="Y48" s="163">
        <f t="shared" si="27"/>
        <v>0</v>
      </c>
      <c r="Z48" s="163">
        <f t="shared" si="28"/>
        <v>0</v>
      </c>
      <c r="AA48" s="163">
        <f t="shared" si="15"/>
        <v>0</v>
      </c>
      <c r="AB48" s="163">
        <f t="shared" si="16"/>
        <v>0</v>
      </c>
      <c r="AC48" s="163">
        <f t="shared" si="17"/>
        <v>0</v>
      </c>
      <c r="AE48" s="51" t="s">
        <v>135</v>
      </c>
      <c r="AF48" s="55">
        <v>0.17</v>
      </c>
      <c r="AG48" s="33">
        <v>4.7</v>
      </c>
      <c r="AH48" s="33">
        <v>0.5</v>
      </c>
      <c r="AI48" s="33">
        <v>4.2</v>
      </c>
      <c r="AJ48" s="192"/>
      <c r="AK48" s="67"/>
      <c r="AL48" s="54"/>
      <c r="AM48" s="54"/>
      <c r="AN48" s="54"/>
      <c r="AP48" s="127">
        <v>80</v>
      </c>
      <c r="AQ48" s="57">
        <f>D48*AP48</f>
        <v>0</v>
      </c>
      <c r="AS48" s="39" t="b">
        <f t="shared" si="29"/>
        <v>0</v>
      </c>
      <c r="AU48" s="152">
        <f>Q48-'P25'!Q48</f>
        <v>0</v>
      </c>
      <c r="AV48" s="152">
        <f>R48-'P25'!R48</f>
        <v>0</v>
      </c>
      <c r="AW48" s="152">
        <f>S48-'P25'!S48</f>
        <v>0</v>
      </c>
    </row>
    <row r="49" spans="2:49" s="5" customFormat="1" ht="14.25" customHeight="1" x14ac:dyDescent="0.25">
      <c r="B49" s="158" t="s">
        <v>166</v>
      </c>
      <c r="C49" s="35" t="s">
        <v>205</v>
      </c>
      <c r="D49" s="10"/>
      <c r="E49" s="10"/>
      <c r="F49" s="45">
        <f t="shared" si="0"/>
        <v>0</v>
      </c>
      <c r="G49" s="10"/>
      <c r="H49" s="58"/>
      <c r="I49" s="58"/>
      <c r="J49" s="64"/>
      <c r="K49" s="65"/>
      <c r="L49" s="58"/>
      <c r="M49" s="60"/>
      <c r="N49" s="61" t="str">
        <f t="shared" si="22"/>
        <v/>
      </c>
      <c r="O49" s="62"/>
      <c r="P49" s="63"/>
      <c r="Q49" s="165">
        <f t="shared" si="12"/>
        <v>0</v>
      </c>
      <c r="R49" s="165">
        <f t="shared" si="13"/>
        <v>0</v>
      </c>
      <c r="S49" s="165">
        <f t="shared" si="14"/>
        <v>0</v>
      </c>
      <c r="U49" s="163">
        <f t="shared" si="23"/>
        <v>0</v>
      </c>
      <c r="V49" s="163">
        <f t="shared" si="24"/>
        <v>0</v>
      </c>
      <c r="W49" s="163">
        <f t="shared" si="25"/>
        <v>0</v>
      </c>
      <c r="X49" s="163">
        <f t="shared" si="26"/>
        <v>0</v>
      </c>
      <c r="Y49" s="163">
        <f t="shared" si="27"/>
        <v>0</v>
      </c>
      <c r="Z49" s="163">
        <f t="shared" si="28"/>
        <v>0</v>
      </c>
      <c r="AA49" s="163">
        <f t="shared" si="15"/>
        <v>0</v>
      </c>
      <c r="AB49" s="163">
        <f t="shared" si="16"/>
        <v>0</v>
      </c>
      <c r="AC49" s="163">
        <f t="shared" si="17"/>
        <v>0</v>
      </c>
      <c r="AE49" s="51" t="s">
        <v>135</v>
      </c>
      <c r="AF49" s="55">
        <v>0.17</v>
      </c>
      <c r="AG49" s="33">
        <v>4</v>
      </c>
      <c r="AH49" s="33">
        <v>0.7</v>
      </c>
      <c r="AI49" s="33">
        <v>4.0999999999999996</v>
      </c>
      <c r="AJ49" s="192"/>
      <c r="AK49" s="67"/>
      <c r="AL49" s="54"/>
      <c r="AM49" s="54"/>
      <c r="AN49" s="54"/>
      <c r="AP49" s="54"/>
      <c r="AQ49" s="54"/>
      <c r="AS49" s="39" t="b">
        <f t="shared" si="29"/>
        <v>0</v>
      </c>
      <c r="AU49" s="152">
        <f>Q49-'P25'!Q49</f>
        <v>0</v>
      </c>
      <c r="AV49" s="152">
        <f>R49-'P25'!R49</f>
        <v>0</v>
      </c>
      <c r="AW49" s="152">
        <f>S49-'P25'!S49</f>
        <v>0</v>
      </c>
    </row>
    <row r="50" spans="2:49" s="5" customFormat="1" ht="14.25" customHeight="1" x14ac:dyDescent="0.25">
      <c r="B50" s="158" t="s">
        <v>158</v>
      </c>
      <c r="C50" s="35" t="s">
        <v>205</v>
      </c>
      <c r="D50" s="10"/>
      <c r="E50" s="10"/>
      <c r="F50" s="45">
        <f t="shared" si="0"/>
        <v>0</v>
      </c>
      <c r="G50" s="10"/>
      <c r="H50" s="58"/>
      <c r="I50" s="58"/>
      <c r="J50" s="64"/>
      <c r="K50" s="65"/>
      <c r="L50" s="58"/>
      <c r="M50" s="60"/>
      <c r="N50" s="61" t="str">
        <f t="shared" si="22"/>
        <v/>
      </c>
      <c r="O50" s="62"/>
      <c r="P50" s="63"/>
      <c r="Q50" s="165">
        <f t="shared" si="12"/>
        <v>0</v>
      </c>
      <c r="R50" s="165">
        <f t="shared" si="13"/>
        <v>0</v>
      </c>
      <c r="S50" s="165">
        <f t="shared" si="14"/>
        <v>0</v>
      </c>
      <c r="U50" s="163">
        <f t="shared" si="23"/>
        <v>0</v>
      </c>
      <c r="V50" s="163">
        <f t="shared" si="24"/>
        <v>0</v>
      </c>
      <c r="W50" s="163">
        <f t="shared" si="25"/>
        <v>0</v>
      </c>
      <c r="X50" s="163">
        <f t="shared" si="26"/>
        <v>0</v>
      </c>
      <c r="Y50" s="163">
        <f t="shared" si="27"/>
        <v>0</v>
      </c>
      <c r="Z50" s="163">
        <f t="shared" si="28"/>
        <v>0</v>
      </c>
      <c r="AA50" s="163">
        <f t="shared" si="15"/>
        <v>0</v>
      </c>
      <c r="AB50" s="163">
        <f t="shared" si="16"/>
        <v>0</v>
      </c>
      <c r="AC50" s="163">
        <f t="shared" si="17"/>
        <v>0</v>
      </c>
      <c r="AE50" s="51" t="s">
        <v>135</v>
      </c>
      <c r="AF50" s="55">
        <v>0.17</v>
      </c>
      <c r="AG50" s="33">
        <v>4.8</v>
      </c>
      <c r="AH50" s="33">
        <v>0.6</v>
      </c>
      <c r="AI50" s="33">
        <v>5.7</v>
      </c>
      <c r="AJ50" s="192"/>
      <c r="AK50" s="67"/>
      <c r="AL50" s="54"/>
      <c r="AM50" s="54"/>
      <c r="AN50" s="54"/>
      <c r="AP50" s="54"/>
      <c r="AQ50" s="54"/>
      <c r="AS50" s="39" t="b">
        <f t="shared" si="29"/>
        <v>0</v>
      </c>
      <c r="AU50" s="152">
        <f>Q50-'P25'!Q50</f>
        <v>0</v>
      </c>
      <c r="AV50" s="152">
        <f>R50-'P25'!R50</f>
        <v>0</v>
      </c>
      <c r="AW50" s="152">
        <f>S50-'P25'!S50</f>
        <v>0</v>
      </c>
    </row>
    <row r="51" spans="2:49" s="5" customFormat="1" ht="14.25" customHeight="1" x14ac:dyDescent="0.25">
      <c r="B51" s="158" t="s">
        <v>159</v>
      </c>
      <c r="C51" s="35" t="s">
        <v>205</v>
      </c>
      <c r="D51" s="10"/>
      <c r="E51" s="10"/>
      <c r="F51" s="45">
        <f t="shared" si="0"/>
        <v>0</v>
      </c>
      <c r="G51" s="10"/>
      <c r="H51" s="58"/>
      <c r="I51" s="58"/>
      <c r="J51" s="64"/>
      <c r="K51" s="65"/>
      <c r="L51" s="58"/>
      <c r="M51" s="60"/>
      <c r="N51" s="61" t="str">
        <f t="shared" si="22"/>
        <v/>
      </c>
      <c r="O51" s="62"/>
      <c r="P51" s="63"/>
      <c r="Q51" s="165">
        <f t="shared" si="12"/>
        <v>0</v>
      </c>
      <c r="R51" s="165">
        <f t="shared" si="13"/>
        <v>0</v>
      </c>
      <c r="S51" s="165">
        <f t="shared" si="14"/>
        <v>0</v>
      </c>
      <c r="U51" s="163">
        <f t="shared" si="23"/>
        <v>0</v>
      </c>
      <c r="V51" s="163">
        <f t="shared" si="24"/>
        <v>0</v>
      </c>
      <c r="W51" s="163">
        <f t="shared" si="25"/>
        <v>0</v>
      </c>
      <c r="X51" s="163">
        <f t="shared" si="26"/>
        <v>0</v>
      </c>
      <c r="Y51" s="163">
        <f t="shared" si="27"/>
        <v>0</v>
      </c>
      <c r="Z51" s="163">
        <f t="shared" si="28"/>
        <v>0</v>
      </c>
      <c r="AA51" s="163">
        <f t="shared" si="15"/>
        <v>0</v>
      </c>
      <c r="AB51" s="163">
        <f t="shared" si="16"/>
        <v>0</v>
      </c>
      <c r="AC51" s="163">
        <f t="shared" si="17"/>
        <v>0</v>
      </c>
      <c r="AE51" s="51" t="s">
        <v>135</v>
      </c>
      <c r="AF51" s="55">
        <v>0.17</v>
      </c>
      <c r="AG51" s="33">
        <v>5.0999999999999996</v>
      </c>
      <c r="AH51" s="33">
        <v>0.7</v>
      </c>
      <c r="AI51" s="33">
        <v>5.4</v>
      </c>
      <c r="AJ51" s="192"/>
      <c r="AK51" s="67"/>
      <c r="AL51" s="54"/>
      <c r="AM51" s="54"/>
      <c r="AN51" s="54"/>
      <c r="AP51" s="54"/>
      <c r="AQ51" s="54"/>
      <c r="AS51" s="39" t="b">
        <f t="shared" si="29"/>
        <v>0</v>
      </c>
      <c r="AU51" s="152">
        <f>Q51-'P25'!Q51</f>
        <v>0</v>
      </c>
      <c r="AV51" s="152">
        <f>R51-'P25'!R51</f>
        <v>0</v>
      </c>
      <c r="AW51" s="152">
        <f>S51-'P25'!S51</f>
        <v>0</v>
      </c>
    </row>
    <row r="52" spans="2:49" s="5" customFormat="1" ht="14.25" customHeight="1" x14ac:dyDescent="0.25">
      <c r="B52" s="158" t="s">
        <v>160</v>
      </c>
      <c r="C52" s="35" t="s">
        <v>205</v>
      </c>
      <c r="D52" s="10"/>
      <c r="E52" s="10"/>
      <c r="F52" s="45">
        <f t="shared" si="0"/>
        <v>0</v>
      </c>
      <c r="G52" s="10"/>
      <c r="H52" s="58"/>
      <c r="I52" s="58"/>
      <c r="J52" s="64"/>
      <c r="K52" s="65"/>
      <c r="L52" s="58"/>
      <c r="M52" s="60"/>
      <c r="N52" s="61" t="str">
        <f t="shared" si="22"/>
        <v/>
      </c>
      <c r="O52" s="62"/>
      <c r="P52" s="63"/>
      <c r="Q52" s="165">
        <f t="shared" si="12"/>
        <v>0</v>
      </c>
      <c r="R52" s="165">
        <f t="shared" si="13"/>
        <v>0</v>
      </c>
      <c r="S52" s="165">
        <f t="shared" si="14"/>
        <v>0</v>
      </c>
      <c r="U52" s="163">
        <f t="shared" si="23"/>
        <v>0</v>
      </c>
      <c r="V52" s="163">
        <f t="shared" si="24"/>
        <v>0</v>
      </c>
      <c r="W52" s="163">
        <f t="shared" si="25"/>
        <v>0</v>
      </c>
      <c r="X52" s="163">
        <f t="shared" si="26"/>
        <v>0</v>
      </c>
      <c r="Y52" s="163">
        <f t="shared" si="27"/>
        <v>0</v>
      </c>
      <c r="Z52" s="163">
        <f t="shared" si="28"/>
        <v>0</v>
      </c>
      <c r="AA52" s="163">
        <f t="shared" si="15"/>
        <v>0</v>
      </c>
      <c r="AB52" s="163">
        <f t="shared" si="16"/>
        <v>0</v>
      </c>
      <c r="AC52" s="163">
        <f t="shared" si="17"/>
        <v>0</v>
      </c>
      <c r="AE52" s="51" t="s">
        <v>135</v>
      </c>
      <c r="AF52" s="55">
        <v>0.17</v>
      </c>
      <c r="AG52" s="33">
        <v>5.7</v>
      </c>
      <c r="AH52" s="33">
        <v>0.4</v>
      </c>
      <c r="AI52" s="33">
        <v>4</v>
      </c>
      <c r="AJ52" s="192"/>
      <c r="AK52" s="67"/>
      <c r="AL52" s="54"/>
      <c r="AM52" s="54"/>
      <c r="AN52" s="54"/>
      <c r="AP52" s="54"/>
      <c r="AQ52" s="54"/>
      <c r="AS52" s="39" t="b">
        <f t="shared" si="29"/>
        <v>0</v>
      </c>
      <c r="AU52" s="152">
        <f>Q52-'P25'!Q52</f>
        <v>0</v>
      </c>
      <c r="AV52" s="152">
        <f>R52-'P25'!R52</f>
        <v>0</v>
      </c>
      <c r="AW52" s="152">
        <f>S52-'P25'!S52</f>
        <v>0</v>
      </c>
    </row>
    <row r="53" spans="2:49" s="5" customFormat="1" ht="14.25" customHeight="1" x14ac:dyDescent="0.25">
      <c r="B53" s="158" t="s">
        <v>144</v>
      </c>
      <c r="C53" s="35" t="s">
        <v>205</v>
      </c>
      <c r="D53" s="10"/>
      <c r="E53" s="10"/>
      <c r="F53" s="45">
        <f t="shared" si="0"/>
        <v>0</v>
      </c>
      <c r="G53" s="10"/>
      <c r="H53" s="58"/>
      <c r="I53" s="58"/>
      <c r="J53" s="64"/>
      <c r="K53" s="65"/>
      <c r="L53" s="58"/>
      <c r="M53" s="60"/>
      <c r="N53" s="61" t="str">
        <f t="shared" si="22"/>
        <v/>
      </c>
      <c r="O53" s="62"/>
      <c r="P53" s="63"/>
      <c r="Q53" s="165">
        <f t="shared" si="12"/>
        <v>0</v>
      </c>
      <c r="R53" s="165">
        <f t="shared" si="13"/>
        <v>0</v>
      </c>
      <c r="S53" s="165">
        <f t="shared" si="14"/>
        <v>0</v>
      </c>
      <c r="U53" s="163">
        <f t="shared" si="23"/>
        <v>0</v>
      </c>
      <c r="V53" s="163">
        <f t="shared" si="24"/>
        <v>0</v>
      </c>
      <c r="W53" s="163">
        <f t="shared" si="25"/>
        <v>0</v>
      </c>
      <c r="X53" s="163">
        <f t="shared" si="26"/>
        <v>0</v>
      </c>
      <c r="Y53" s="163">
        <f t="shared" si="27"/>
        <v>0</v>
      </c>
      <c r="Z53" s="163">
        <f t="shared" si="28"/>
        <v>0</v>
      </c>
      <c r="AA53" s="163">
        <f t="shared" si="15"/>
        <v>0</v>
      </c>
      <c r="AB53" s="163">
        <f t="shared" si="16"/>
        <v>0</v>
      </c>
      <c r="AC53" s="163">
        <f t="shared" si="17"/>
        <v>0</v>
      </c>
      <c r="AE53" s="51" t="s">
        <v>135</v>
      </c>
      <c r="AF53" s="55">
        <v>0.17</v>
      </c>
      <c r="AG53" s="33">
        <v>4</v>
      </c>
      <c r="AH53" s="33">
        <v>0.6</v>
      </c>
      <c r="AI53" s="33">
        <v>4.5</v>
      </c>
      <c r="AJ53" s="192"/>
      <c r="AK53" s="67"/>
      <c r="AL53" s="54"/>
      <c r="AM53" s="54"/>
      <c r="AN53" s="54"/>
      <c r="AP53" s="54"/>
      <c r="AQ53" s="54"/>
      <c r="AS53" s="39" t="b">
        <f t="shared" si="29"/>
        <v>0</v>
      </c>
      <c r="AU53" s="152">
        <f>Q53-'P25'!Q53</f>
        <v>0</v>
      </c>
      <c r="AV53" s="152">
        <f>R53-'P25'!R53</f>
        <v>0</v>
      </c>
      <c r="AW53" s="152">
        <f>S53-'P25'!S53</f>
        <v>0</v>
      </c>
    </row>
    <row r="54" spans="2:49" s="5" customFormat="1" ht="14.25" customHeight="1" x14ac:dyDescent="0.25">
      <c r="B54" s="158" t="s">
        <v>173</v>
      </c>
      <c r="C54" s="35" t="s">
        <v>234</v>
      </c>
      <c r="D54" s="10"/>
      <c r="E54" s="10"/>
      <c r="F54" s="45">
        <f t="shared" si="0"/>
        <v>0</v>
      </c>
      <c r="G54" s="10"/>
      <c r="H54" s="58"/>
      <c r="I54" s="58"/>
      <c r="J54" s="64"/>
      <c r="K54" s="65"/>
      <c r="L54" s="58"/>
      <c r="M54" s="60"/>
      <c r="N54" s="61" t="str">
        <f t="shared" si="22"/>
        <v/>
      </c>
      <c r="O54" s="62"/>
      <c r="P54" s="63"/>
      <c r="Q54" s="165">
        <f t="shared" si="12"/>
        <v>0</v>
      </c>
      <c r="R54" s="165">
        <f t="shared" si="13"/>
        <v>0</v>
      </c>
      <c r="S54" s="165">
        <f t="shared" si="14"/>
        <v>0</v>
      </c>
      <c r="U54" s="163">
        <f t="shared" si="23"/>
        <v>0</v>
      </c>
      <c r="V54" s="163">
        <f t="shared" si="24"/>
        <v>0</v>
      </c>
      <c r="W54" s="163">
        <f t="shared" si="25"/>
        <v>0</v>
      </c>
      <c r="X54" s="163">
        <f t="shared" si="26"/>
        <v>0</v>
      </c>
      <c r="Y54" s="163">
        <f t="shared" si="27"/>
        <v>0</v>
      </c>
      <c r="Z54" s="163">
        <f t="shared" si="28"/>
        <v>0</v>
      </c>
      <c r="AA54" s="163">
        <f t="shared" si="15"/>
        <v>0</v>
      </c>
      <c r="AB54" s="163">
        <f t="shared" si="16"/>
        <v>0</v>
      </c>
      <c r="AC54" s="163">
        <f t="shared" si="17"/>
        <v>0</v>
      </c>
      <c r="AE54" s="51" t="s">
        <v>136</v>
      </c>
      <c r="AF54" s="55">
        <v>0.85</v>
      </c>
      <c r="AG54" s="33">
        <v>24.1</v>
      </c>
      <c r="AH54" s="33">
        <v>2</v>
      </c>
      <c r="AI54" s="33">
        <v>17.899999999999999</v>
      </c>
      <c r="AJ54" s="192"/>
      <c r="AK54" s="67"/>
      <c r="AL54" s="54"/>
      <c r="AM54" s="54"/>
      <c r="AN54" s="54"/>
      <c r="AP54" s="127">
        <v>180</v>
      </c>
      <c r="AQ54" s="57">
        <f>D54*AP54</f>
        <v>0</v>
      </c>
      <c r="AS54" s="39" t="b">
        <f t="shared" si="29"/>
        <v>0</v>
      </c>
      <c r="AU54" s="152">
        <f>Q54-'P25'!Q54</f>
        <v>0</v>
      </c>
      <c r="AV54" s="152">
        <f>R54-'P25'!R54</f>
        <v>0</v>
      </c>
      <c r="AW54" s="152">
        <f>S54-'P25'!S54</f>
        <v>0</v>
      </c>
    </row>
    <row r="55" spans="2:49" s="5" customFormat="1" ht="14.25" customHeight="1" x14ac:dyDescent="0.25">
      <c r="B55" s="158" t="s">
        <v>174</v>
      </c>
      <c r="C55" s="35" t="s">
        <v>234</v>
      </c>
      <c r="D55" s="10"/>
      <c r="E55" s="10"/>
      <c r="F55" s="45">
        <f t="shared" si="0"/>
        <v>0</v>
      </c>
      <c r="G55" s="10"/>
      <c r="H55" s="58"/>
      <c r="I55" s="58"/>
      <c r="J55" s="64"/>
      <c r="K55" s="65"/>
      <c r="L55" s="58"/>
      <c r="M55" s="60"/>
      <c r="N55" s="61" t="str">
        <f t="shared" si="22"/>
        <v/>
      </c>
      <c r="O55" s="62"/>
      <c r="P55" s="63"/>
      <c r="Q55" s="165">
        <f t="shared" si="12"/>
        <v>0</v>
      </c>
      <c r="R55" s="165">
        <f t="shared" si="13"/>
        <v>0</v>
      </c>
      <c r="S55" s="165">
        <f t="shared" si="14"/>
        <v>0</v>
      </c>
      <c r="U55" s="163">
        <f t="shared" si="23"/>
        <v>0</v>
      </c>
      <c r="V55" s="163">
        <f t="shared" si="24"/>
        <v>0</v>
      </c>
      <c r="W55" s="163">
        <f t="shared" si="25"/>
        <v>0</v>
      </c>
      <c r="X55" s="163">
        <f t="shared" si="26"/>
        <v>0</v>
      </c>
      <c r="Y55" s="163">
        <f t="shared" si="27"/>
        <v>0</v>
      </c>
      <c r="Z55" s="163">
        <f t="shared" si="28"/>
        <v>0</v>
      </c>
      <c r="AA55" s="163">
        <f t="shared" si="15"/>
        <v>0</v>
      </c>
      <c r="AB55" s="163">
        <f t="shared" si="16"/>
        <v>0</v>
      </c>
      <c r="AC55" s="163">
        <f t="shared" si="17"/>
        <v>0</v>
      </c>
      <c r="AE55" s="51" t="s">
        <v>136</v>
      </c>
      <c r="AF55" s="55">
        <v>0.85</v>
      </c>
      <c r="AG55" s="33">
        <v>28.3</v>
      </c>
      <c r="AH55" s="33">
        <v>2.2999999999999998</v>
      </c>
      <c r="AI55" s="33">
        <v>18.2</v>
      </c>
      <c r="AJ55" s="192"/>
      <c r="AK55" s="67"/>
      <c r="AL55" s="54"/>
      <c r="AM55" s="54"/>
      <c r="AN55" s="54"/>
      <c r="AP55" s="127">
        <v>180</v>
      </c>
      <c r="AQ55" s="57">
        <f>D55*AP55</f>
        <v>0</v>
      </c>
      <c r="AS55" s="39" t="b">
        <f t="shared" si="29"/>
        <v>0</v>
      </c>
      <c r="AU55" s="152">
        <f>Q55-'P25'!Q55</f>
        <v>0</v>
      </c>
      <c r="AV55" s="152">
        <f>R55-'P25'!R55</f>
        <v>0</v>
      </c>
      <c r="AW55" s="152">
        <f>S55-'P25'!S55</f>
        <v>0</v>
      </c>
    </row>
    <row r="56" spans="2:49" s="5" customFormat="1" ht="14.25" customHeight="1" x14ac:dyDescent="0.25">
      <c r="B56" s="158" t="s">
        <v>187</v>
      </c>
      <c r="C56" s="35" t="s">
        <v>234</v>
      </c>
      <c r="D56" s="10"/>
      <c r="E56" s="10"/>
      <c r="F56" s="45">
        <f t="shared" si="0"/>
        <v>0</v>
      </c>
      <c r="G56" s="10"/>
      <c r="H56" s="58"/>
      <c r="I56" s="58"/>
      <c r="J56" s="64"/>
      <c r="K56" s="65"/>
      <c r="L56" s="58"/>
      <c r="M56" s="60"/>
      <c r="N56" s="61" t="str">
        <f t="shared" si="22"/>
        <v/>
      </c>
      <c r="O56" s="62"/>
      <c r="P56" s="63"/>
      <c r="Q56" s="165">
        <f t="shared" si="12"/>
        <v>0</v>
      </c>
      <c r="R56" s="165">
        <f t="shared" si="13"/>
        <v>0</v>
      </c>
      <c r="S56" s="165">
        <f t="shared" si="14"/>
        <v>0</v>
      </c>
      <c r="U56" s="163">
        <f t="shared" si="23"/>
        <v>0</v>
      </c>
      <c r="V56" s="163">
        <f t="shared" si="24"/>
        <v>0</v>
      </c>
      <c r="W56" s="163">
        <f t="shared" si="25"/>
        <v>0</v>
      </c>
      <c r="X56" s="163">
        <f t="shared" si="26"/>
        <v>0</v>
      </c>
      <c r="Y56" s="163">
        <f t="shared" si="27"/>
        <v>0</v>
      </c>
      <c r="Z56" s="163">
        <f t="shared" si="28"/>
        <v>0</v>
      </c>
      <c r="AA56" s="163">
        <f t="shared" si="15"/>
        <v>0</v>
      </c>
      <c r="AB56" s="163">
        <f t="shared" si="16"/>
        <v>0</v>
      </c>
      <c r="AC56" s="163">
        <f t="shared" si="17"/>
        <v>0</v>
      </c>
      <c r="AE56" s="51" t="s">
        <v>136</v>
      </c>
      <c r="AF56" s="55">
        <v>0.85</v>
      </c>
      <c r="AG56" s="33">
        <v>28.3</v>
      </c>
      <c r="AH56" s="33">
        <v>2.2999999999999998</v>
      </c>
      <c r="AI56" s="33">
        <v>18.2</v>
      </c>
      <c r="AJ56" s="192"/>
      <c r="AK56" s="67"/>
      <c r="AL56" s="54"/>
      <c r="AM56" s="54"/>
      <c r="AN56" s="54"/>
      <c r="AP56" s="127">
        <v>80</v>
      </c>
      <c r="AQ56" s="57">
        <f>D56*AP56</f>
        <v>0</v>
      </c>
      <c r="AS56" s="39" t="b">
        <f t="shared" si="29"/>
        <v>0</v>
      </c>
      <c r="AU56" s="152">
        <f>Q56-'P25'!Q56</f>
        <v>0</v>
      </c>
      <c r="AV56" s="152">
        <f>R56-'P25'!R56</f>
        <v>0</v>
      </c>
      <c r="AW56" s="152">
        <f>S56-'P25'!S56</f>
        <v>0</v>
      </c>
    </row>
    <row r="57" spans="2:49" s="5" customFormat="1" ht="14.25" customHeight="1" x14ac:dyDescent="0.25">
      <c r="B57" s="159" t="s">
        <v>146</v>
      </c>
      <c r="C57" s="36"/>
      <c r="D57" s="10"/>
      <c r="E57" s="10"/>
      <c r="F57" s="45">
        <f t="shared" si="0"/>
        <v>0</v>
      </c>
      <c r="G57" s="10"/>
      <c r="H57" s="9"/>
      <c r="I57" s="46">
        <f>IF(L57=0,IF(F57=0,G57*K57*H57,F57*K57*H57),0)</f>
        <v>0</v>
      </c>
      <c r="J57" s="47" t="s">
        <v>169</v>
      </c>
      <c r="K57" s="48">
        <v>8</v>
      </c>
      <c r="L57" s="9"/>
      <c r="M57" s="47" t="s">
        <v>272</v>
      </c>
      <c r="N57" s="48" t="str">
        <f>IF(H57=0,"",IF(F57+G57=0,"",IF(L57=0,0,IF(G57=0,(L57/H57)/F57,(L57/H57)/G57))))</f>
        <v/>
      </c>
      <c r="O57" s="49">
        <f>D57-H57</f>
        <v>0</v>
      </c>
      <c r="P57" s="50" t="str">
        <f>IF(O57&lt;0,"!",IF(AS57=TRUE,"!",""))</f>
        <v/>
      </c>
      <c r="Q57" s="165">
        <f t="shared" si="12"/>
        <v>0</v>
      </c>
      <c r="R57" s="165">
        <f t="shared" si="13"/>
        <v>0</v>
      </c>
      <c r="S57" s="165">
        <f t="shared" si="14"/>
        <v>0</v>
      </c>
      <c r="U57" s="163">
        <f t="shared" si="23"/>
        <v>0</v>
      </c>
      <c r="V57" s="163">
        <f t="shared" si="24"/>
        <v>0</v>
      </c>
      <c r="W57" s="163">
        <f t="shared" si="25"/>
        <v>0</v>
      </c>
      <c r="X57" s="163">
        <f t="shared" si="26"/>
        <v>0</v>
      </c>
      <c r="Y57" s="163">
        <f t="shared" si="27"/>
        <v>0</v>
      </c>
      <c r="Z57" s="163">
        <f t="shared" si="28"/>
        <v>0</v>
      </c>
      <c r="AA57" s="163">
        <f t="shared" si="15"/>
        <v>0</v>
      </c>
      <c r="AB57" s="163">
        <f t="shared" si="16"/>
        <v>0</v>
      </c>
      <c r="AC57" s="163">
        <f t="shared" si="17"/>
        <v>0</v>
      </c>
      <c r="AE57" s="51" t="s">
        <v>141</v>
      </c>
      <c r="AF57" s="55">
        <v>0.91</v>
      </c>
      <c r="AG57" s="33">
        <v>55</v>
      </c>
      <c r="AH57" s="33">
        <v>6.4</v>
      </c>
      <c r="AI57" s="33">
        <v>5.8</v>
      </c>
      <c r="AJ57" s="191" t="s">
        <v>145</v>
      </c>
      <c r="AK57" s="56">
        <v>0.91</v>
      </c>
      <c r="AL57" s="53">
        <v>15</v>
      </c>
      <c r="AM57" s="53">
        <v>1.3</v>
      </c>
      <c r="AN57" s="53">
        <v>22.8</v>
      </c>
      <c r="AP57" s="54">
        <v>0</v>
      </c>
      <c r="AQ57" s="54"/>
      <c r="AS57" s="39" t="b">
        <f t="shared" si="29"/>
        <v>0</v>
      </c>
      <c r="AU57" s="152">
        <f>Q57-'P25'!Q57</f>
        <v>0</v>
      </c>
      <c r="AV57" s="152">
        <f>R57-'P25'!R57</f>
        <v>0</v>
      </c>
      <c r="AW57" s="152">
        <f>S57-'P25'!S57</f>
        <v>0</v>
      </c>
    </row>
    <row r="58" spans="2:49" s="5" customFormat="1" ht="14.25" customHeight="1" x14ac:dyDescent="0.25">
      <c r="B58" s="158" t="s">
        <v>77</v>
      </c>
      <c r="C58" s="35" t="s">
        <v>234</v>
      </c>
      <c r="D58" s="10"/>
      <c r="E58" s="10"/>
      <c r="F58" s="45">
        <f t="shared" si="0"/>
        <v>0</v>
      </c>
      <c r="G58" s="10"/>
      <c r="H58" s="62"/>
      <c r="I58" s="62"/>
      <c r="J58" s="64"/>
      <c r="K58" s="65"/>
      <c r="L58" s="62"/>
      <c r="M58" s="60"/>
      <c r="N58" s="61"/>
      <c r="O58" s="62"/>
      <c r="P58" s="63"/>
      <c r="Q58" s="165">
        <f t="shared" si="12"/>
        <v>0</v>
      </c>
      <c r="R58" s="165">
        <f t="shared" si="13"/>
        <v>0</v>
      </c>
      <c r="S58" s="165">
        <f t="shared" si="14"/>
        <v>0</v>
      </c>
      <c r="U58" s="163">
        <f t="shared" si="23"/>
        <v>0</v>
      </c>
      <c r="V58" s="163">
        <f t="shared" si="24"/>
        <v>0</v>
      </c>
      <c r="W58" s="163">
        <f t="shared" si="25"/>
        <v>0</v>
      </c>
      <c r="X58" s="163">
        <f t="shared" si="26"/>
        <v>0</v>
      </c>
      <c r="Y58" s="163">
        <f t="shared" si="27"/>
        <v>0</v>
      </c>
      <c r="Z58" s="163">
        <f t="shared" si="28"/>
        <v>0</v>
      </c>
      <c r="AA58" s="163">
        <f t="shared" si="15"/>
        <v>0</v>
      </c>
      <c r="AB58" s="163">
        <f t="shared" si="16"/>
        <v>0</v>
      </c>
      <c r="AC58" s="163">
        <f t="shared" si="17"/>
        <v>0</v>
      </c>
      <c r="AE58" s="51" t="s">
        <v>136</v>
      </c>
      <c r="AF58" s="55">
        <v>0.85</v>
      </c>
      <c r="AG58" s="33">
        <v>21.8</v>
      </c>
      <c r="AH58" s="33">
        <v>2</v>
      </c>
      <c r="AI58" s="33">
        <v>19</v>
      </c>
      <c r="AJ58" s="192"/>
      <c r="AK58" s="67"/>
      <c r="AL58" s="54"/>
      <c r="AM58" s="54"/>
      <c r="AN58" s="54"/>
      <c r="AP58" s="127">
        <v>80</v>
      </c>
      <c r="AQ58" s="57">
        <f>D58*AP58</f>
        <v>0</v>
      </c>
      <c r="AS58" s="39" t="b">
        <f t="shared" si="29"/>
        <v>0</v>
      </c>
      <c r="AU58" s="152">
        <f>Q58-'P25'!Q58</f>
        <v>0</v>
      </c>
      <c r="AV58" s="152">
        <f>R58-'P25'!R58</f>
        <v>0</v>
      </c>
      <c r="AW58" s="152">
        <f>S58-'P25'!S58</f>
        <v>0</v>
      </c>
    </row>
    <row r="59" spans="2:49" s="5" customFormat="1" ht="14.25" customHeight="1" x14ac:dyDescent="0.25">
      <c r="B59" s="158" t="s">
        <v>78</v>
      </c>
      <c r="C59" s="35" t="s">
        <v>234</v>
      </c>
      <c r="D59" s="10"/>
      <c r="E59" s="10"/>
      <c r="F59" s="45">
        <f t="shared" si="0"/>
        <v>0</v>
      </c>
      <c r="G59" s="10"/>
      <c r="H59" s="62"/>
      <c r="I59" s="62"/>
      <c r="J59" s="64"/>
      <c r="K59" s="65"/>
      <c r="L59" s="62"/>
      <c r="M59" s="60"/>
      <c r="N59" s="61"/>
      <c r="O59" s="62"/>
      <c r="P59" s="63"/>
      <c r="Q59" s="165">
        <f t="shared" si="12"/>
        <v>0</v>
      </c>
      <c r="R59" s="165">
        <f t="shared" si="13"/>
        <v>0</v>
      </c>
      <c r="S59" s="165">
        <f t="shared" si="14"/>
        <v>0</v>
      </c>
      <c r="U59" s="163">
        <f t="shared" si="23"/>
        <v>0</v>
      </c>
      <c r="V59" s="163">
        <f t="shared" si="24"/>
        <v>0</v>
      </c>
      <c r="W59" s="163">
        <f t="shared" si="25"/>
        <v>0</v>
      </c>
      <c r="X59" s="163">
        <f t="shared" si="26"/>
        <v>0</v>
      </c>
      <c r="Y59" s="163">
        <f t="shared" si="27"/>
        <v>0</v>
      </c>
      <c r="Z59" s="163">
        <f t="shared" si="28"/>
        <v>0</v>
      </c>
      <c r="AA59" s="163">
        <f t="shared" si="15"/>
        <v>0</v>
      </c>
      <c r="AB59" s="163">
        <f t="shared" si="16"/>
        <v>0</v>
      </c>
      <c r="AC59" s="163">
        <f t="shared" si="17"/>
        <v>0</v>
      </c>
      <c r="AE59" s="87" t="s">
        <v>136</v>
      </c>
      <c r="AF59" s="55">
        <v>0.85</v>
      </c>
      <c r="AG59" s="33">
        <v>21.1</v>
      </c>
      <c r="AH59" s="33">
        <v>2.8</v>
      </c>
      <c r="AI59" s="33">
        <v>19.8</v>
      </c>
      <c r="AJ59" s="192"/>
      <c r="AK59" s="67"/>
      <c r="AL59" s="54"/>
      <c r="AM59" s="54"/>
      <c r="AN59" s="54"/>
      <c r="AP59" s="127">
        <v>80</v>
      </c>
      <c r="AQ59" s="57">
        <f>D59*AP59</f>
        <v>0</v>
      </c>
      <c r="AS59" s="39" t="b">
        <f t="shared" si="29"/>
        <v>0</v>
      </c>
      <c r="AU59" s="152">
        <f>Q59-'P25'!Q59</f>
        <v>0</v>
      </c>
      <c r="AV59" s="152">
        <f>R59-'P25'!R59</f>
        <v>0</v>
      </c>
      <c r="AW59" s="152">
        <f>S59-'P25'!S59</f>
        <v>0</v>
      </c>
    </row>
    <row r="60" spans="2:49" s="5" customFormat="1" ht="14.25" customHeight="1" x14ac:dyDescent="0.25">
      <c r="B60" s="158" t="s">
        <v>79</v>
      </c>
      <c r="C60" s="35" t="s">
        <v>234</v>
      </c>
      <c r="D60" s="10"/>
      <c r="E60" s="10"/>
      <c r="F60" s="45">
        <f t="shared" si="0"/>
        <v>0</v>
      </c>
      <c r="G60" s="10"/>
      <c r="H60" s="62"/>
      <c r="I60" s="62"/>
      <c r="J60" s="64"/>
      <c r="K60" s="65"/>
      <c r="L60" s="62"/>
      <c r="M60" s="60"/>
      <c r="N60" s="61"/>
      <c r="O60" s="62"/>
      <c r="P60" s="63"/>
      <c r="Q60" s="165">
        <f t="shared" si="12"/>
        <v>0</v>
      </c>
      <c r="R60" s="165">
        <f t="shared" si="13"/>
        <v>0</v>
      </c>
      <c r="S60" s="165">
        <f t="shared" si="14"/>
        <v>0</v>
      </c>
      <c r="U60" s="163">
        <f t="shared" si="23"/>
        <v>0</v>
      </c>
      <c r="V60" s="163">
        <f t="shared" si="24"/>
        <v>0</v>
      </c>
      <c r="W60" s="163">
        <f t="shared" si="25"/>
        <v>0</v>
      </c>
      <c r="X60" s="163">
        <f t="shared" si="26"/>
        <v>0</v>
      </c>
      <c r="Y60" s="163">
        <f t="shared" si="27"/>
        <v>0</v>
      </c>
      <c r="Z60" s="163">
        <f t="shared" si="28"/>
        <v>0</v>
      </c>
      <c r="AA60" s="163">
        <f t="shared" si="15"/>
        <v>0</v>
      </c>
      <c r="AB60" s="163">
        <f t="shared" si="16"/>
        <v>0</v>
      </c>
      <c r="AC60" s="163">
        <f t="shared" si="17"/>
        <v>0</v>
      </c>
      <c r="AE60" s="51" t="s">
        <v>136</v>
      </c>
      <c r="AF60" s="55">
        <v>0.85</v>
      </c>
      <c r="AG60" s="33">
        <v>20.399999999999999</v>
      </c>
      <c r="AH60" s="33">
        <v>3</v>
      </c>
      <c r="AI60" s="33">
        <v>23</v>
      </c>
      <c r="AJ60" s="192"/>
      <c r="AK60" s="67"/>
      <c r="AL60" s="54"/>
      <c r="AM60" s="54"/>
      <c r="AN60" s="54"/>
      <c r="AP60" s="127">
        <v>80</v>
      </c>
      <c r="AQ60" s="57">
        <f>D60*AP60</f>
        <v>0</v>
      </c>
      <c r="AS60" s="39" t="b">
        <f t="shared" si="29"/>
        <v>0</v>
      </c>
      <c r="AU60" s="152">
        <f>Q60-'P25'!Q60</f>
        <v>0</v>
      </c>
      <c r="AV60" s="152">
        <f>R60-'P25'!R60</f>
        <v>0</v>
      </c>
      <c r="AW60" s="152">
        <f>S60-'P25'!S60</f>
        <v>0</v>
      </c>
    </row>
    <row r="61" spans="2:49" s="5" customFormat="1" ht="14.25" customHeight="1" x14ac:dyDescent="0.25">
      <c r="B61" s="158" t="s">
        <v>186</v>
      </c>
      <c r="C61" s="35" t="s">
        <v>234</v>
      </c>
      <c r="D61" s="10"/>
      <c r="E61" s="10"/>
      <c r="F61" s="45">
        <f t="shared" si="0"/>
        <v>0</v>
      </c>
      <c r="G61" s="10"/>
      <c r="H61" s="62"/>
      <c r="I61" s="62"/>
      <c r="J61" s="64"/>
      <c r="K61" s="65"/>
      <c r="L61" s="62"/>
      <c r="M61" s="60"/>
      <c r="N61" s="61"/>
      <c r="O61" s="62"/>
      <c r="P61" s="63"/>
      <c r="Q61" s="165">
        <f t="shared" si="12"/>
        <v>0</v>
      </c>
      <c r="R61" s="165">
        <f t="shared" si="13"/>
        <v>0</v>
      </c>
      <c r="S61" s="165">
        <f t="shared" si="14"/>
        <v>0</v>
      </c>
      <c r="U61" s="163">
        <f t="shared" si="23"/>
        <v>0</v>
      </c>
      <c r="V61" s="163">
        <f t="shared" si="24"/>
        <v>0</v>
      </c>
      <c r="W61" s="163">
        <f t="shared" si="25"/>
        <v>0</v>
      </c>
      <c r="X61" s="163">
        <f t="shared" si="26"/>
        <v>0</v>
      </c>
      <c r="Y61" s="163">
        <f t="shared" si="27"/>
        <v>0</v>
      </c>
      <c r="Z61" s="163">
        <f t="shared" si="28"/>
        <v>0</v>
      </c>
      <c r="AA61" s="163">
        <f t="shared" si="15"/>
        <v>0</v>
      </c>
      <c r="AB61" s="163">
        <f t="shared" si="16"/>
        <v>0</v>
      </c>
      <c r="AC61" s="163">
        <f t="shared" si="17"/>
        <v>0</v>
      </c>
      <c r="AE61" s="51" t="s">
        <v>136</v>
      </c>
      <c r="AF61" s="55">
        <v>0.85</v>
      </c>
      <c r="AG61" s="33">
        <v>21.7</v>
      </c>
      <c r="AH61" s="33">
        <v>2.6</v>
      </c>
      <c r="AI61" s="33">
        <v>20.8</v>
      </c>
      <c r="AJ61" s="192"/>
      <c r="AK61" s="67"/>
      <c r="AL61" s="54"/>
      <c r="AM61" s="54"/>
      <c r="AN61" s="54"/>
      <c r="AP61" s="68"/>
      <c r="AQ61" s="68"/>
      <c r="AS61" s="39" t="b">
        <f t="shared" si="29"/>
        <v>0</v>
      </c>
      <c r="AU61" s="152">
        <f>Q61-'P25'!Q61</f>
        <v>0</v>
      </c>
      <c r="AV61" s="152">
        <f>R61-'P25'!R61</f>
        <v>0</v>
      </c>
      <c r="AW61" s="152">
        <f>S61-'P25'!S61</f>
        <v>0</v>
      </c>
    </row>
    <row r="62" spans="2:49" s="5" customFormat="1" ht="14.25" customHeight="1" x14ac:dyDescent="0.25">
      <c r="B62" s="159" t="s">
        <v>147</v>
      </c>
      <c r="C62" s="36"/>
      <c r="D62" s="10"/>
      <c r="E62" s="10"/>
      <c r="F62" s="45">
        <f t="shared" si="0"/>
        <v>0</v>
      </c>
      <c r="G62" s="10"/>
      <c r="H62" s="9"/>
      <c r="I62" s="46">
        <f>IF(L62=0,IF(F62=0,G62*K62*H62,F62*K62*H62),0)</f>
        <v>0</v>
      </c>
      <c r="J62" s="47" t="s">
        <v>169</v>
      </c>
      <c r="K62" s="48">
        <v>8</v>
      </c>
      <c r="L62" s="9"/>
      <c r="M62" s="47" t="s">
        <v>272</v>
      </c>
      <c r="N62" s="48" t="str">
        <f>IF(H62=0,"",IF(F62+G62=0,"",IF(L62=0,0,IF(G62=0,(L62/H62)/F62,(L62/H62)/G62))))</f>
        <v/>
      </c>
      <c r="O62" s="49">
        <f>D62-H62</f>
        <v>0</v>
      </c>
      <c r="P62" s="50" t="str">
        <f>IF(O62&lt;0,"!",IF(AS62=TRUE,"!",""))</f>
        <v/>
      </c>
      <c r="Q62" s="165">
        <f t="shared" si="12"/>
        <v>0</v>
      </c>
      <c r="R62" s="165">
        <f t="shared" si="13"/>
        <v>0</v>
      </c>
      <c r="S62" s="165">
        <f t="shared" si="14"/>
        <v>0</v>
      </c>
      <c r="U62" s="163">
        <f t="shared" si="23"/>
        <v>0</v>
      </c>
      <c r="V62" s="163">
        <f t="shared" si="24"/>
        <v>0</v>
      </c>
      <c r="W62" s="163">
        <f t="shared" si="25"/>
        <v>0</v>
      </c>
      <c r="X62" s="163">
        <f t="shared" si="26"/>
        <v>0</v>
      </c>
      <c r="Y62" s="163">
        <f t="shared" si="27"/>
        <v>0</v>
      </c>
      <c r="Z62" s="163">
        <f t="shared" si="28"/>
        <v>0</v>
      </c>
      <c r="AA62" s="163">
        <f t="shared" si="15"/>
        <v>0</v>
      </c>
      <c r="AB62" s="163">
        <f t="shared" si="16"/>
        <v>0</v>
      </c>
      <c r="AC62" s="163">
        <f t="shared" si="17"/>
        <v>0</v>
      </c>
      <c r="AE62" s="51" t="s">
        <v>141</v>
      </c>
      <c r="AF62" s="55">
        <v>0.91</v>
      </c>
      <c r="AG62" s="33">
        <v>23.4</v>
      </c>
      <c r="AH62" s="33">
        <v>3.6</v>
      </c>
      <c r="AI62" s="33">
        <v>5.8</v>
      </c>
      <c r="AJ62" s="191" t="s">
        <v>145</v>
      </c>
      <c r="AK62" s="56">
        <v>0.91</v>
      </c>
      <c r="AL62" s="53">
        <v>15.8</v>
      </c>
      <c r="AM62" s="53">
        <v>1.4</v>
      </c>
      <c r="AN62" s="53">
        <v>22.8</v>
      </c>
      <c r="AP62" s="68"/>
      <c r="AQ62" s="68"/>
      <c r="AS62" s="39" t="b">
        <f t="shared" si="29"/>
        <v>0</v>
      </c>
      <c r="AU62" s="152">
        <f>Q62-'P25'!Q62</f>
        <v>0</v>
      </c>
      <c r="AV62" s="152">
        <f>R62-'P25'!R62</f>
        <v>0</v>
      </c>
      <c r="AW62" s="152">
        <f>S62-'P25'!S62</f>
        <v>0</v>
      </c>
    </row>
    <row r="63" spans="2:49" s="5" customFormat="1" ht="14.25" customHeight="1" x14ac:dyDescent="0.25">
      <c r="B63" s="158" t="s">
        <v>63</v>
      </c>
      <c r="C63" s="36"/>
      <c r="D63" s="10"/>
      <c r="E63" s="10"/>
      <c r="F63" s="45">
        <f t="shared" si="0"/>
        <v>0</v>
      </c>
      <c r="G63" s="10"/>
      <c r="H63" s="58"/>
      <c r="I63" s="58"/>
      <c r="J63" s="64"/>
      <c r="K63" s="65"/>
      <c r="L63" s="58"/>
      <c r="M63" s="60"/>
      <c r="N63" s="61"/>
      <c r="O63" s="62"/>
      <c r="P63" s="63"/>
      <c r="Q63" s="165">
        <f t="shared" si="12"/>
        <v>0</v>
      </c>
      <c r="R63" s="165">
        <f t="shared" si="13"/>
        <v>0</v>
      </c>
      <c r="S63" s="165">
        <f t="shared" si="14"/>
        <v>0</v>
      </c>
      <c r="U63" s="163">
        <f t="shared" si="23"/>
        <v>0</v>
      </c>
      <c r="V63" s="163">
        <f t="shared" si="24"/>
        <v>0</v>
      </c>
      <c r="W63" s="163">
        <f t="shared" si="25"/>
        <v>0</v>
      </c>
      <c r="X63" s="163">
        <f t="shared" si="26"/>
        <v>0</v>
      </c>
      <c r="Y63" s="163">
        <f t="shared" si="27"/>
        <v>0</v>
      </c>
      <c r="Z63" s="163">
        <f t="shared" si="28"/>
        <v>0</v>
      </c>
      <c r="AA63" s="163">
        <f t="shared" si="15"/>
        <v>0</v>
      </c>
      <c r="AB63" s="163">
        <f t="shared" si="16"/>
        <v>0</v>
      </c>
      <c r="AC63" s="163">
        <f t="shared" si="17"/>
        <v>0</v>
      </c>
      <c r="AE63" s="51"/>
      <c r="AF63" s="55"/>
      <c r="AG63" s="33">
        <v>3</v>
      </c>
      <c r="AH63" s="33">
        <v>0.9</v>
      </c>
      <c r="AI63" s="33">
        <v>5</v>
      </c>
      <c r="AJ63" s="193"/>
      <c r="AK63" s="67"/>
      <c r="AL63" s="54"/>
      <c r="AM63" s="54"/>
      <c r="AN63" s="54"/>
      <c r="AP63" s="68"/>
      <c r="AQ63" s="68"/>
      <c r="AS63" s="39" t="b">
        <f t="shared" si="29"/>
        <v>0</v>
      </c>
      <c r="AU63" s="152">
        <f>Q63-'P25'!Q63</f>
        <v>0</v>
      </c>
      <c r="AV63" s="152">
        <f>R63-'P25'!R63</f>
        <v>0</v>
      </c>
      <c r="AW63" s="152">
        <f>S63-'P25'!S63</f>
        <v>0</v>
      </c>
    </row>
    <row r="64" spans="2:49" s="5" customFormat="1" ht="14.25" customHeight="1" x14ac:dyDescent="0.25">
      <c r="B64" s="158" t="s">
        <v>67</v>
      </c>
      <c r="C64" s="36"/>
      <c r="D64" s="10"/>
      <c r="E64" s="10"/>
      <c r="F64" s="45">
        <f t="shared" si="0"/>
        <v>0</v>
      </c>
      <c r="G64" s="10"/>
      <c r="H64" s="58"/>
      <c r="I64" s="58"/>
      <c r="J64" s="64"/>
      <c r="K64" s="65"/>
      <c r="L64" s="58"/>
      <c r="M64" s="60"/>
      <c r="N64" s="61"/>
      <c r="O64" s="62"/>
      <c r="P64" s="63"/>
      <c r="Q64" s="165">
        <f t="shared" si="12"/>
        <v>0</v>
      </c>
      <c r="R64" s="165">
        <f t="shared" si="13"/>
        <v>0</v>
      </c>
      <c r="S64" s="165">
        <f t="shared" si="14"/>
        <v>0</v>
      </c>
      <c r="U64" s="163">
        <f t="shared" si="23"/>
        <v>0</v>
      </c>
      <c r="V64" s="163">
        <f t="shared" si="24"/>
        <v>0</v>
      </c>
      <c r="W64" s="163">
        <f t="shared" si="25"/>
        <v>0</v>
      </c>
      <c r="X64" s="163">
        <f t="shared" si="26"/>
        <v>0</v>
      </c>
      <c r="Y64" s="163">
        <f t="shared" si="27"/>
        <v>0</v>
      </c>
      <c r="Z64" s="163">
        <f t="shared" si="28"/>
        <v>0</v>
      </c>
      <c r="AA64" s="163">
        <f t="shared" si="15"/>
        <v>0</v>
      </c>
      <c r="AB64" s="163">
        <f t="shared" si="16"/>
        <v>0</v>
      </c>
      <c r="AC64" s="163">
        <f t="shared" si="17"/>
        <v>0</v>
      </c>
      <c r="AE64" s="51"/>
      <c r="AF64" s="55"/>
      <c r="AG64" s="33">
        <v>2</v>
      </c>
      <c r="AH64" s="33">
        <v>0.4</v>
      </c>
      <c r="AI64" s="33">
        <v>3.7</v>
      </c>
      <c r="AJ64" s="193"/>
      <c r="AK64" s="67"/>
      <c r="AL64" s="54"/>
      <c r="AM64" s="54"/>
      <c r="AN64" s="54"/>
      <c r="AP64" s="68"/>
      <c r="AQ64" s="68"/>
      <c r="AS64" s="39" t="b">
        <f t="shared" si="29"/>
        <v>0</v>
      </c>
      <c r="AU64" s="152">
        <f>Q64-'P25'!Q64</f>
        <v>0</v>
      </c>
      <c r="AV64" s="152">
        <f>R64-'P25'!R64</f>
        <v>0</v>
      </c>
      <c r="AW64" s="152">
        <f>S64-'P25'!S64</f>
        <v>0</v>
      </c>
    </row>
    <row r="65" spans="2:49" s="5" customFormat="1" ht="14.25" customHeight="1" x14ac:dyDescent="0.25">
      <c r="B65" s="158" t="s">
        <v>70</v>
      </c>
      <c r="C65" s="36"/>
      <c r="D65" s="10"/>
      <c r="E65" s="10"/>
      <c r="F65" s="45">
        <f t="shared" si="0"/>
        <v>0</v>
      </c>
      <c r="G65" s="10"/>
      <c r="H65" s="58"/>
      <c r="I65" s="58"/>
      <c r="J65" s="64"/>
      <c r="K65" s="65"/>
      <c r="L65" s="58"/>
      <c r="M65" s="60"/>
      <c r="N65" s="61"/>
      <c r="O65" s="62"/>
      <c r="P65" s="63"/>
      <c r="Q65" s="165">
        <f t="shared" si="12"/>
        <v>0</v>
      </c>
      <c r="R65" s="165">
        <f t="shared" si="13"/>
        <v>0</v>
      </c>
      <c r="S65" s="165">
        <f t="shared" si="14"/>
        <v>0</v>
      </c>
      <c r="U65" s="163">
        <f t="shared" si="23"/>
        <v>0</v>
      </c>
      <c r="V65" s="163">
        <f t="shared" si="24"/>
        <v>0</v>
      </c>
      <c r="W65" s="163">
        <f t="shared" si="25"/>
        <v>0</v>
      </c>
      <c r="X65" s="163">
        <f t="shared" si="26"/>
        <v>0</v>
      </c>
      <c r="Y65" s="163">
        <f t="shared" si="27"/>
        <v>0</v>
      </c>
      <c r="Z65" s="163">
        <f t="shared" si="28"/>
        <v>0</v>
      </c>
      <c r="AA65" s="163">
        <f t="shared" si="15"/>
        <v>0</v>
      </c>
      <c r="AB65" s="163">
        <f t="shared" si="16"/>
        <v>0</v>
      </c>
      <c r="AC65" s="163">
        <f t="shared" si="17"/>
        <v>0</v>
      </c>
      <c r="AE65" s="51"/>
      <c r="AF65" s="55"/>
      <c r="AG65" s="33">
        <v>3</v>
      </c>
      <c r="AH65" s="33">
        <v>0.7</v>
      </c>
      <c r="AI65" s="33">
        <v>4.2</v>
      </c>
      <c r="AJ65" s="193"/>
      <c r="AK65" s="67"/>
      <c r="AL65" s="54"/>
      <c r="AM65" s="54"/>
      <c r="AN65" s="54"/>
      <c r="AP65" s="68"/>
      <c r="AQ65" s="68"/>
      <c r="AS65" s="39" t="b">
        <f t="shared" si="29"/>
        <v>0</v>
      </c>
      <c r="AU65" s="152">
        <f>Q65-'P25'!Q65</f>
        <v>0</v>
      </c>
      <c r="AV65" s="152">
        <f>R65-'P25'!R65</f>
        <v>0</v>
      </c>
      <c r="AW65" s="152">
        <f>S65-'P25'!S65</f>
        <v>0</v>
      </c>
    </row>
    <row r="66" spans="2:49" s="5" customFormat="1" ht="14.25" customHeight="1" x14ac:dyDescent="0.25">
      <c r="B66" s="158" t="s">
        <v>62</v>
      </c>
      <c r="C66" s="36"/>
      <c r="D66" s="10"/>
      <c r="E66" s="10"/>
      <c r="F66" s="313">
        <f t="shared" si="0"/>
        <v>0</v>
      </c>
      <c r="G66" s="10"/>
      <c r="H66" s="58"/>
      <c r="I66" s="58"/>
      <c r="J66" s="64"/>
      <c r="K66" s="65"/>
      <c r="L66" s="58"/>
      <c r="M66" s="60"/>
      <c r="N66" s="61"/>
      <c r="O66" s="62"/>
      <c r="P66" s="63"/>
      <c r="Q66" s="165">
        <f t="shared" si="12"/>
        <v>0</v>
      </c>
      <c r="R66" s="165">
        <f t="shared" si="13"/>
        <v>0</v>
      </c>
      <c r="S66" s="165">
        <f t="shared" si="14"/>
        <v>0</v>
      </c>
      <c r="U66" s="163">
        <f t="shared" si="23"/>
        <v>0</v>
      </c>
      <c r="V66" s="163">
        <f t="shared" si="24"/>
        <v>0</v>
      </c>
      <c r="W66" s="163">
        <f t="shared" si="25"/>
        <v>0</v>
      </c>
      <c r="X66" s="163">
        <f t="shared" si="26"/>
        <v>0</v>
      </c>
      <c r="Y66" s="163">
        <f t="shared" si="27"/>
        <v>0</v>
      </c>
      <c r="Z66" s="163">
        <f t="shared" si="28"/>
        <v>0</v>
      </c>
      <c r="AA66" s="163">
        <f t="shared" si="15"/>
        <v>0</v>
      </c>
      <c r="AB66" s="163">
        <f t="shared" si="16"/>
        <v>0</v>
      </c>
      <c r="AC66" s="163">
        <f t="shared" si="17"/>
        <v>0</v>
      </c>
      <c r="AE66" s="51"/>
      <c r="AF66" s="55"/>
      <c r="AG66" s="33">
        <v>2</v>
      </c>
      <c r="AH66" s="33">
        <v>0.4</v>
      </c>
      <c r="AI66" s="33">
        <v>1.7</v>
      </c>
      <c r="AJ66" s="193"/>
      <c r="AK66" s="67"/>
      <c r="AL66" s="54"/>
      <c r="AM66" s="54"/>
      <c r="AN66" s="54"/>
      <c r="AP66" s="68"/>
      <c r="AQ66" s="68"/>
      <c r="AS66" s="39" t="b">
        <f t="shared" si="29"/>
        <v>0</v>
      </c>
      <c r="AU66" s="152">
        <f>Q66-'P25'!Q66</f>
        <v>0</v>
      </c>
      <c r="AV66" s="152">
        <f>R66-'P25'!R66</f>
        <v>0</v>
      </c>
      <c r="AW66" s="152">
        <f>S66-'P25'!S66</f>
        <v>0</v>
      </c>
    </row>
    <row r="67" spans="2:49" s="5" customFormat="1" ht="14.25" customHeight="1" x14ac:dyDescent="0.25">
      <c r="B67" s="158" t="s">
        <v>65</v>
      </c>
      <c r="C67" s="36"/>
      <c r="D67" s="10"/>
      <c r="E67" s="10"/>
      <c r="F67" s="314">
        <f t="shared" si="0"/>
        <v>0</v>
      </c>
      <c r="G67" s="10"/>
      <c r="H67" s="58"/>
      <c r="I67" s="58"/>
      <c r="J67" s="64"/>
      <c r="K67" s="65"/>
      <c r="L67" s="58"/>
      <c r="M67" s="60"/>
      <c r="N67" s="61"/>
      <c r="O67" s="62"/>
      <c r="P67" s="63"/>
      <c r="Q67" s="165">
        <f t="shared" si="12"/>
        <v>0</v>
      </c>
      <c r="R67" s="165">
        <f t="shared" si="13"/>
        <v>0</v>
      </c>
      <c r="S67" s="165">
        <f t="shared" si="14"/>
        <v>0</v>
      </c>
      <c r="U67" s="163">
        <f t="shared" si="23"/>
        <v>0</v>
      </c>
      <c r="V67" s="163">
        <f t="shared" si="24"/>
        <v>0</v>
      </c>
      <c r="W67" s="163">
        <f t="shared" si="25"/>
        <v>0</v>
      </c>
      <c r="X67" s="163">
        <f t="shared" si="26"/>
        <v>0</v>
      </c>
      <c r="Y67" s="163">
        <f t="shared" si="27"/>
        <v>0</v>
      </c>
      <c r="Z67" s="163">
        <f t="shared" si="28"/>
        <v>0</v>
      </c>
      <c r="AA67" s="163">
        <f t="shared" si="15"/>
        <v>0</v>
      </c>
      <c r="AB67" s="163">
        <f t="shared" si="16"/>
        <v>0</v>
      </c>
      <c r="AC67" s="163">
        <f t="shared" si="17"/>
        <v>0</v>
      </c>
      <c r="AE67" s="51"/>
      <c r="AF67" s="55"/>
      <c r="AG67" s="33">
        <v>3</v>
      </c>
      <c r="AH67" s="33">
        <v>0.4</v>
      </c>
      <c r="AI67" s="33">
        <v>3.7</v>
      </c>
      <c r="AJ67" s="193"/>
      <c r="AK67" s="67"/>
      <c r="AL67" s="54"/>
      <c r="AM67" s="54"/>
      <c r="AN67" s="54"/>
      <c r="AP67" s="68"/>
      <c r="AQ67" s="68"/>
      <c r="AS67" s="39" t="b">
        <f t="shared" si="29"/>
        <v>0</v>
      </c>
      <c r="AU67" s="152">
        <f>Q67-'P25'!Q67</f>
        <v>0</v>
      </c>
      <c r="AV67" s="152">
        <f>R67-'P25'!R67</f>
        <v>0</v>
      </c>
      <c r="AW67" s="152">
        <f>S67-'P25'!S67</f>
        <v>0</v>
      </c>
    </row>
    <row r="68" spans="2:49" s="5" customFormat="1" ht="14.25" customHeight="1" x14ac:dyDescent="0.25">
      <c r="B68" s="158" t="s">
        <v>64</v>
      </c>
      <c r="C68" s="36"/>
      <c r="D68" s="10"/>
      <c r="E68" s="10"/>
      <c r="F68" s="314">
        <f t="shared" si="0"/>
        <v>0</v>
      </c>
      <c r="G68" s="10"/>
      <c r="H68" s="58"/>
      <c r="I68" s="58"/>
      <c r="J68" s="64"/>
      <c r="K68" s="65"/>
      <c r="L68" s="58"/>
      <c r="M68" s="60"/>
      <c r="N68" s="61"/>
      <c r="O68" s="62"/>
      <c r="P68" s="63"/>
      <c r="Q68" s="165">
        <f t="shared" si="12"/>
        <v>0</v>
      </c>
      <c r="R68" s="165">
        <f t="shared" si="13"/>
        <v>0</v>
      </c>
      <c r="S68" s="165">
        <f t="shared" si="14"/>
        <v>0</v>
      </c>
      <c r="U68" s="163">
        <f t="shared" si="23"/>
        <v>0</v>
      </c>
      <c r="V68" s="163">
        <f t="shared" si="24"/>
        <v>0</v>
      </c>
      <c r="W68" s="163">
        <f t="shared" si="25"/>
        <v>0</v>
      </c>
      <c r="X68" s="163">
        <f t="shared" si="26"/>
        <v>0</v>
      </c>
      <c r="Y68" s="163">
        <f t="shared" si="27"/>
        <v>0</v>
      </c>
      <c r="Z68" s="163">
        <f t="shared" si="28"/>
        <v>0</v>
      </c>
      <c r="AA68" s="163">
        <f t="shared" si="15"/>
        <v>0</v>
      </c>
      <c r="AB68" s="163">
        <f t="shared" si="16"/>
        <v>0</v>
      </c>
      <c r="AC68" s="163">
        <f t="shared" si="17"/>
        <v>0</v>
      </c>
      <c r="AE68" s="51"/>
      <c r="AF68" s="55"/>
      <c r="AG68" s="33">
        <v>3.5</v>
      </c>
      <c r="AH68" s="33">
        <v>0.5</v>
      </c>
      <c r="AI68" s="33">
        <v>3.3</v>
      </c>
      <c r="AJ68" s="193"/>
      <c r="AK68" s="67"/>
      <c r="AL68" s="54"/>
      <c r="AM68" s="54"/>
      <c r="AN68" s="54"/>
      <c r="AP68" s="68"/>
      <c r="AQ68" s="68"/>
      <c r="AS68" s="39" t="b">
        <f t="shared" si="29"/>
        <v>0</v>
      </c>
      <c r="AU68" s="152">
        <f>Q68-'P25'!Q68</f>
        <v>0</v>
      </c>
      <c r="AV68" s="152">
        <f>R68-'P25'!R68</f>
        <v>0</v>
      </c>
      <c r="AW68" s="152">
        <f>S68-'P25'!S68</f>
        <v>0</v>
      </c>
    </row>
    <row r="69" spans="2:49" s="5" customFormat="1" ht="14.25" customHeight="1" x14ac:dyDescent="0.25">
      <c r="B69" s="158" t="s">
        <v>66</v>
      </c>
      <c r="C69" s="36"/>
      <c r="D69" s="10"/>
      <c r="E69" s="10"/>
      <c r="F69" s="315">
        <f t="shared" si="0"/>
        <v>0</v>
      </c>
      <c r="G69" s="10"/>
      <c r="H69" s="58"/>
      <c r="I69" s="58"/>
      <c r="J69" s="64"/>
      <c r="K69" s="65"/>
      <c r="L69" s="58"/>
      <c r="M69" s="60"/>
      <c r="N69" s="61"/>
      <c r="O69" s="62"/>
      <c r="P69" s="63"/>
      <c r="Q69" s="165">
        <f t="shared" si="12"/>
        <v>0</v>
      </c>
      <c r="R69" s="165">
        <f t="shared" si="13"/>
        <v>0</v>
      </c>
      <c r="S69" s="165">
        <f t="shared" si="14"/>
        <v>0</v>
      </c>
      <c r="U69" s="163">
        <f t="shared" si="23"/>
        <v>0</v>
      </c>
      <c r="V69" s="163">
        <f t="shared" si="24"/>
        <v>0</v>
      </c>
      <c r="W69" s="163">
        <f t="shared" si="25"/>
        <v>0</v>
      </c>
      <c r="X69" s="163">
        <f t="shared" si="26"/>
        <v>0</v>
      </c>
      <c r="Y69" s="163">
        <f t="shared" si="27"/>
        <v>0</v>
      </c>
      <c r="Z69" s="163">
        <f t="shared" si="28"/>
        <v>0</v>
      </c>
      <c r="AA69" s="163">
        <f t="shared" si="15"/>
        <v>0</v>
      </c>
      <c r="AB69" s="163">
        <f t="shared" si="16"/>
        <v>0</v>
      </c>
      <c r="AC69" s="163">
        <f t="shared" si="17"/>
        <v>0</v>
      </c>
      <c r="AE69" s="51"/>
      <c r="AF69" s="55"/>
      <c r="AG69" s="33">
        <v>3.5</v>
      </c>
      <c r="AH69" s="33">
        <v>0.5</v>
      </c>
      <c r="AI69" s="33">
        <v>3.3</v>
      </c>
      <c r="AJ69" s="193"/>
      <c r="AK69" s="67"/>
      <c r="AL69" s="54"/>
      <c r="AM69" s="54"/>
      <c r="AN69" s="54"/>
      <c r="AP69" s="68"/>
      <c r="AQ69" s="68"/>
      <c r="AS69" s="39" t="b">
        <f t="shared" si="29"/>
        <v>0</v>
      </c>
      <c r="AU69" s="152">
        <f>Q69-'P25'!Q69</f>
        <v>0</v>
      </c>
      <c r="AV69" s="152">
        <f>R69-'P25'!R69</f>
        <v>0</v>
      </c>
      <c r="AW69" s="152">
        <f>S69-'P25'!S69</f>
        <v>0</v>
      </c>
    </row>
    <row r="70" spans="2:49" s="5" customFormat="1" ht="14.25" customHeight="1" x14ac:dyDescent="0.25">
      <c r="B70" s="158" t="s">
        <v>72</v>
      </c>
      <c r="C70" s="36"/>
      <c r="D70" s="10"/>
      <c r="E70" s="10"/>
      <c r="F70" s="45">
        <f t="shared" si="0"/>
        <v>0</v>
      </c>
      <c r="G70" s="10"/>
      <c r="H70" s="58"/>
      <c r="I70" s="58"/>
      <c r="J70" s="64"/>
      <c r="K70" s="65"/>
      <c r="L70" s="58"/>
      <c r="M70" s="60"/>
      <c r="N70" s="61"/>
      <c r="O70" s="62"/>
      <c r="P70" s="63"/>
      <c r="Q70" s="165">
        <f t="shared" si="12"/>
        <v>0</v>
      </c>
      <c r="R70" s="165">
        <f t="shared" si="13"/>
        <v>0</v>
      </c>
      <c r="S70" s="165">
        <f t="shared" si="14"/>
        <v>0</v>
      </c>
      <c r="U70" s="163">
        <f t="shared" si="23"/>
        <v>0</v>
      </c>
      <c r="V70" s="163">
        <f t="shared" si="24"/>
        <v>0</v>
      </c>
      <c r="W70" s="163">
        <f t="shared" si="25"/>
        <v>0</v>
      </c>
      <c r="X70" s="163">
        <f t="shared" si="26"/>
        <v>0</v>
      </c>
      <c r="Y70" s="163">
        <f t="shared" si="27"/>
        <v>0</v>
      </c>
      <c r="Z70" s="163">
        <f t="shared" si="28"/>
        <v>0</v>
      </c>
      <c r="AA70" s="163">
        <f t="shared" si="15"/>
        <v>0</v>
      </c>
      <c r="AB70" s="163">
        <f t="shared" si="16"/>
        <v>0</v>
      </c>
      <c r="AC70" s="163">
        <f t="shared" si="17"/>
        <v>0</v>
      </c>
      <c r="AE70" s="51"/>
      <c r="AF70" s="55"/>
      <c r="AG70" s="33">
        <v>3</v>
      </c>
      <c r="AH70" s="33">
        <v>0.4</v>
      </c>
      <c r="AI70" s="33">
        <v>2.7</v>
      </c>
      <c r="AJ70" s="193"/>
      <c r="AK70" s="67"/>
      <c r="AL70" s="54"/>
      <c r="AM70" s="54"/>
      <c r="AN70" s="54"/>
      <c r="AP70" s="68"/>
      <c r="AQ70" s="68"/>
      <c r="AS70" s="39" t="b">
        <f t="shared" si="29"/>
        <v>0</v>
      </c>
      <c r="AU70" s="152">
        <f>Q70-'P25'!Q70</f>
        <v>0</v>
      </c>
      <c r="AV70" s="152">
        <f>R70-'P25'!R70</f>
        <v>0</v>
      </c>
      <c r="AW70" s="152">
        <f>S70-'P25'!S70</f>
        <v>0</v>
      </c>
    </row>
    <row r="71" spans="2:49" s="5" customFormat="1" ht="14.25" customHeight="1" x14ac:dyDescent="0.25">
      <c r="B71" s="158" t="s">
        <v>68</v>
      </c>
      <c r="C71" s="36"/>
      <c r="D71" s="10"/>
      <c r="E71" s="10"/>
      <c r="F71" s="45">
        <f t="shared" si="0"/>
        <v>0</v>
      </c>
      <c r="G71" s="10"/>
      <c r="H71" s="58"/>
      <c r="I71" s="58"/>
      <c r="J71" s="64"/>
      <c r="K71" s="65"/>
      <c r="L71" s="58"/>
      <c r="M71" s="60"/>
      <c r="N71" s="61"/>
      <c r="O71" s="62"/>
      <c r="P71" s="63"/>
      <c r="Q71" s="165">
        <f t="shared" si="12"/>
        <v>0</v>
      </c>
      <c r="R71" s="165">
        <f t="shared" si="13"/>
        <v>0</v>
      </c>
      <c r="S71" s="165">
        <f t="shared" si="14"/>
        <v>0</v>
      </c>
      <c r="U71" s="163">
        <f t="shared" si="23"/>
        <v>0</v>
      </c>
      <c r="V71" s="163">
        <f t="shared" si="24"/>
        <v>0</v>
      </c>
      <c r="W71" s="163">
        <f t="shared" si="25"/>
        <v>0</v>
      </c>
      <c r="X71" s="163">
        <f t="shared" si="26"/>
        <v>0</v>
      </c>
      <c r="Y71" s="163">
        <f t="shared" si="27"/>
        <v>0</v>
      </c>
      <c r="Z71" s="163">
        <f t="shared" si="28"/>
        <v>0</v>
      </c>
      <c r="AA71" s="163">
        <f t="shared" si="15"/>
        <v>0</v>
      </c>
      <c r="AB71" s="163">
        <f t="shared" si="16"/>
        <v>0</v>
      </c>
      <c r="AC71" s="163">
        <f t="shared" si="17"/>
        <v>0</v>
      </c>
      <c r="AE71" s="51"/>
      <c r="AF71" s="55"/>
      <c r="AG71" s="33">
        <v>2</v>
      </c>
      <c r="AH71" s="33">
        <v>0.4</v>
      </c>
      <c r="AI71" s="33">
        <v>4.2</v>
      </c>
      <c r="AJ71" s="193"/>
      <c r="AK71" s="67"/>
      <c r="AL71" s="54"/>
      <c r="AM71" s="54"/>
      <c r="AN71" s="54"/>
      <c r="AP71" s="68"/>
      <c r="AQ71" s="68"/>
      <c r="AS71" s="39" t="b">
        <f t="shared" si="29"/>
        <v>0</v>
      </c>
      <c r="AU71" s="152">
        <f>Q71-'P25'!Q71</f>
        <v>0</v>
      </c>
      <c r="AV71" s="152">
        <f>R71-'P25'!R71</f>
        <v>0</v>
      </c>
      <c r="AW71" s="152">
        <f>S71-'P25'!S71</f>
        <v>0</v>
      </c>
    </row>
    <row r="72" spans="2:49" s="5" customFormat="1" ht="14.25" customHeight="1" x14ac:dyDescent="0.25">
      <c r="B72" s="158" t="s">
        <v>69</v>
      </c>
      <c r="C72" s="36"/>
      <c r="D72" s="10"/>
      <c r="E72" s="10"/>
      <c r="F72" s="45">
        <f t="shared" si="0"/>
        <v>0</v>
      </c>
      <c r="G72" s="10"/>
      <c r="H72" s="58"/>
      <c r="I72" s="58"/>
      <c r="J72" s="64"/>
      <c r="K72" s="65"/>
      <c r="L72" s="58"/>
      <c r="M72" s="60"/>
      <c r="N72" s="61"/>
      <c r="O72" s="62"/>
      <c r="P72" s="63"/>
      <c r="Q72" s="165">
        <f t="shared" si="12"/>
        <v>0</v>
      </c>
      <c r="R72" s="165">
        <f t="shared" si="13"/>
        <v>0</v>
      </c>
      <c r="S72" s="165">
        <f t="shared" si="14"/>
        <v>0</v>
      </c>
      <c r="U72" s="163">
        <f t="shared" ref="U72:U78" si="30">IF($G72=0,$F72*$D72*AG72,$G72*$D72*AG72)</f>
        <v>0</v>
      </c>
      <c r="V72" s="163">
        <f t="shared" ref="V72:V78" si="31">IF($G72=0,$F72*$D72*AH72,$G72*$D72*AH72)</f>
        <v>0</v>
      </c>
      <c r="W72" s="163">
        <f t="shared" ref="W72:W78" si="32">IF($G72=0,$F72*$D72*AI72,$G72*$D72*AI72)</f>
        <v>0</v>
      </c>
      <c r="X72" s="163">
        <f t="shared" ref="X72:X78" si="33">IF($L72=0,$I72*AL72,$L72*AL72)</f>
        <v>0</v>
      </c>
      <c r="Y72" s="163">
        <f t="shared" ref="Y72:Y78" si="34">IF($L72=0,$I72*AM72,$L72*AM72)</f>
        <v>0</v>
      </c>
      <c r="Z72" s="163">
        <f t="shared" ref="Z72:Z78" si="35">IF($L72=0,$I72*AN72,$L72*AN72)</f>
        <v>0</v>
      </c>
      <c r="AA72" s="163">
        <f t="shared" si="15"/>
        <v>0</v>
      </c>
      <c r="AB72" s="163">
        <f t="shared" si="16"/>
        <v>0</v>
      </c>
      <c r="AC72" s="163">
        <f t="shared" si="17"/>
        <v>0</v>
      </c>
      <c r="AE72" s="51"/>
      <c r="AF72" s="55"/>
      <c r="AG72" s="33">
        <v>1.8</v>
      </c>
      <c r="AH72" s="33">
        <v>0.3</v>
      </c>
      <c r="AI72" s="33">
        <v>2.9</v>
      </c>
      <c r="AJ72" s="193"/>
      <c r="AK72" s="67"/>
      <c r="AL72" s="54"/>
      <c r="AM72" s="54"/>
      <c r="AN72" s="54"/>
      <c r="AP72" s="68"/>
      <c r="AQ72" s="68"/>
      <c r="AS72" s="39" t="b">
        <f t="shared" ref="AS72:AS78" si="36">AND(H72=0,L72&gt;0)</f>
        <v>0</v>
      </c>
      <c r="AU72" s="152">
        <f>Q72-'P25'!Q72</f>
        <v>0</v>
      </c>
      <c r="AV72" s="152">
        <f>R72-'P25'!R72</f>
        <v>0</v>
      </c>
      <c r="AW72" s="152">
        <f>S72-'P25'!S72</f>
        <v>0</v>
      </c>
    </row>
    <row r="73" spans="2:49" s="5" customFormat="1" ht="14.25" customHeight="1" x14ac:dyDescent="0.25">
      <c r="B73" s="158" t="s">
        <v>71</v>
      </c>
      <c r="C73" s="36"/>
      <c r="D73" s="10"/>
      <c r="E73" s="10"/>
      <c r="F73" s="45">
        <f t="shared" si="0"/>
        <v>0</v>
      </c>
      <c r="G73" s="10"/>
      <c r="H73" s="58"/>
      <c r="I73" s="58"/>
      <c r="J73" s="64"/>
      <c r="K73" s="65"/>
      <c r="L73" s="58"/>
      <c r="M73" s="60"/>
      <c r="N73" s="61"/>
      <c r="O73" s="62"/>
      <c r="P73" s="63"/>
      <c r="Q73" s="165">
        <f t="shared" ref="Q73:Q79" si="37">IF($D73=0,0,AA73/$D73)</f>
        <v>0</v>
      </c>
      <c r="R73" s="165">
        <f t="shared" ref="R73:R79" si="38">IF($D73=0,0,AB73/$D73)</f>
        <v>0</v>
      </c>
      <c r="S73" s="165">
        <f t="shared" ref="S73:S79" si="39">IF($D73=0,0,AC73/$D73)</f>
        <v>0</v>
      </c>
      <c r="U73" s="163">
        <f t="shared" si="30"/>
        <v>0</v>
      </c>
      <c r="V73" s="163">
        <f t="shared" si="31"/>
        <v>0</v>
      </c>
      <c r="W73" s="163">
        <f t="shared" si="32"/>
        <v>0</v>
      </c>
      <c r="X73" s="163">
        <f t="shared" si="33"/>
        <v>0</v>
      </c>
      <c r="Y73" s="163">
        <f t="shared" si="34"/>
        <v>0</v>
      </c>
      <c r="Z73" s="163">
        <f t="shared" si="35"/>
        <v>0</v>
      </c>
      <c r="AA73" s="163">
        <f t="shared" si="15"/>
        <v>0</v>
      </c>
      <c r="AB73" s="163">
        <f t="shared" si="16"/>
        <v>0</v>
      </c>
      <c r="AC73" s="163">
        <f t="shared" si="17"/>
        <v>0</v>
      </c>
      <c r="AE73" s="51"/>
      <c r="AF73" s="55"/>
      <c r="AG73" s="33">
        <v>4</v>
      </c>
      <c r="AH73" s="33">
        <v>0.6</v>
      </c>
      <c r="AI73" s="33">
        <v>5.8</v>
      </c>
      <c r="AJ73" s="193"/>
      <c r="AK73" s="67"/>
      <c r="AL73" s="54"/>
      <c r="AM73" s="54"/>
      <c r="AN73" s="54"/>
      <c r="AP73" s="68"/>
      <c r="AQ73" s="68"/>
      <c r="AS73" s="39" t="b">
        <f t="shared" si="36"/>
        <v>0</v>
      </c>
      <c r="AU73" s="152">
        <f>Q73-'P25'!Q73</f>
        <v>0</v>
      </c>
      <c r="AV73" s="152">
        <f>R73-'P25'!R73</f>
        <v>0</v>
      </c>
      <c r="AW73" s="152">
        <f>S73-'P25'!S73</f>
        <v>0</v>
      </c>
    </row>
    <row r="74" spans="2:49" s="5" customFormat="1" ht="14.25" customHeight="1" x14ac:dyDescent="0.25">
      <c r="B74" s="689" t="s">
        <v>162</v>
      </c>
      <c r="C74" s="35" t="s">
        <v>188</v>
      </c>
      <c r="D74" s="10"/>
      <c r="E74" s="10"/>
      <c r="F74" s="45">
        <f>IF(D74=0,0,E74/D74)</f>
        <v>0</v>
      </c>
      <c r="G74" s="10"/>
      <c r="H74" s="58"/>
      <c r="I74" s="58"/>
      <c r="J74" s="64"/>
      <c r="K74" s="65"/>
      <c r="L74" s="58"/>
      <c r="M74" s="60"/>
      <c r="N74" s="61"/>
      <c r="O74" s="62"/>
      <c r="P74" s="63"/>
      <c r="Q74" s="165">
        <f t="shared" si="37"/>
        <v>0</v>
      </c>
      <c r="R74" s="165">
        <f t="shared" si="38"/>
        <v>0</v>
      </c>
      <c r="S74" s="165">
        <f t="shared" si="39"/>
        <v>0</v>
      </c>
      <c r="U74" s="163">
        <f t="shared" si="30"/>
        <v>0</v>
      </c>
      <c r="V74" s="163">
        <f t="shared" si="31"/>
        <v>0</v>
      </c>
      <c r="W74" s="163">
        <f t="shared" si="32"/>
        <v>0</v>
      </c>
      <c r="X74" s="163">
        <f t="shared" si="33"/>
        <v>0</v>
      </c>
      <c r="Y74" s="163">
        <f t="shared" si="34"/>
        <v>0</v>
      </c>
      <c r="Z74" s="163">
        <f t="shared" si="35"/>
        <v>0</v>
      </c>
      <c r="AA74" s="163">
        <f t="shared" si="15"/>
        <v>0</v>
      </c>
      <c r="AB74" s="163">
        <f t="shared" si="16"/>
        <v>0</v>
      </c>
      <c r="AC74" s="163">
        <f t="shared" si="17"/>
        <v>0</v>
      </c>
      <c r="AE74" s="51" t="s">
        <v>161</v>
      </c>
      <c r="AF74" s="55">
        <v>0.15</v>
      </c>
      <c r="AG74" s="33">
        <v>11</v>
      </c>
      <c r="AH74" s="33">
        <v>1.1000000000000001</v>
      </c>
      <c r="AI74" s="33">
        <v>3.3</v>
      </c>
      <c r="AJ74" s="192"/>
      <c r="AK74" s="67"/>
      <c r="AL74" s="54"/>
      <c r="AM74" s="54"/>
      <c r="AN74" s="54"/>
      <c r="AP74" s="127">
        <v>80</v>
      </c>
      <c r="AQ74" s="57">
        <f>D74*AP74</f>
        <v>0</v>
      </c>
      <c r="AS74" s="39" t="b">
        <f t="shared" si="36"/>
        <v>0</v>
      </c>
      <c r="AU74" s="152">
        <f>Q74-'P25'!Q74</f>
        <v>0</v>
      </c>
      <c r="AV74" s="152">
        <f>R74-'P25'!R74</f>
        <v>0</v>
      </c>
      <c r="AW74" s="152">
        <f>S74-'P25'!S74</f>
        <v>0</v>
      </c>
    </row>
    <row r="75" spans="2:49" s="5" customFormat="1" ht="14.25" customHeight="1" x14ac:dyDescent="0.25">
      <c r="B75" s="690"/>
      <c r="C75" s="35" t="s">
        <v>189</v>
      </c>
      <c r="D75" s="10"/>
      <c r="E75" s="10"/>
      <c r="F75" s="45">
        <f>IF(D75=0,0,E75/D75)</f>
        <v>0</v>
      </c>
      <c r="G75" s="10"/>
      <c r="H75" s="58"/>
      <c r="I75" s="58"/>
      <c r="J75" s="64"/>
      <c r="K75" s="65"/>
      <c r="L75" s="58"/>
      <c r="M75" s="60"/>
      <c r="N75" s="61"/>
      <c r="O75" s="62"/>
      <c r="P75" s="63"/>
      <c r="Q75" s="165">
        <f t="shared" si="37"/>
        <v>0</v>
      </c>
      <c r="R75" s="165">
        <f t="shared" si="38"/>
        <v>0</v>
      </c>
      <c r="S75" s="165">
        <f t="shared" si="39"/>
        <v>0</v>
      </c>
      <c r="U75" s="163">
        <f t="shared" si="30"/>
        <v>0</v>
      </c>
      <c r="V75" s="163">
        <f t="shared" si="31"/>
        <v>0</v>
      </c>
      <c r="W75" s="163">
        <f t="shared" si="32"/>
        <v>0</v>
      </c>
      <c r="X75" s="163">
        <f t="shared" si="33"/>
        <v>0</v>
      </c>
      <c r="Y75" s="163">
        <f t="shared" si="34"/>
        <v>0</v>
      </c>
      <c r="Z75" s="163">
        <f t="shared" si="35"/>
        <v>0</v>
      </c>
      <c r="AA75" s="163">
        <f t="shared" ref="AA75:AC78" si="40">U75+X75</f>
        <v>0</v>
      </c>
      <c r="AB75" s="163">
        <f t="shared" si="40"/>
        <v>0</v>
      </c>
      <c r="AC75" s="163">
        <f t="shared" si="40"/>
        <v>0</v>
      </c>
      <c r="AE75" s="51" t="s">
        <v>164</v>
      </c>
      <c r="AF75" s="55">
        <v>0.15</v>
      </c>
      <c r="AG75" s="33">
        <v>5</v>
      </c>
      <c r="AH75" s="33">
        <v>0.7</v>
      </c>
      <c r="AI75" s="33">
        <v>3.3</v>
      </c>
      <c r="AJ75" s="192"/>
      <c r="AK75" s="67"/>
      <c r="AL75" s="54"/>
      <c r="AM75" s="54"/>
      <c r="AN75" s="54"/>
      <c r="AP75" s="127">
        <v>80</v>
      </c>
      <c r="AQ75" s="57">
        <f>D75*AP75</f>
        <v>0</v>
      </c>
      <c r="AS75" s="39" t="b">
        <f t="shared" si="36"/>
        <v>0</v>
      </c>
      <c r="AU75" s="152">
        <f>Q75-'P25'!Q75</f>
        <v>0</v>
      </c>
      <c r="AV75" s="152">
        <f>R75-'P25'!R75</f>
        <v>0</v>
      </c>
      <c r="AW75" s="152">
        <f>S75-'P25'!S75</f>
        <v>0</v>
      </c>
    </row>
    <row r="76" spans="2:49" s="5" customFormat="1" ht="14.25" customHeight="1" x14ac:dyDescent="0.25">
      <c r="B76" s="158" t="s">
        <v>163</v>
      </c>
      <c r="C76" s="36"/>
      <c r="D76" s="10"/>
      <c r="E76" s="10"/>
      <c r="F76" s="45">
        <f>IF(D76=0,0,E76/D76)</f>
        <v>0</v>
      </c>
      <c r="G76" s="10"/>
      <c r="H76" s="58"/>
      <c r="I76" s="58"/>
      <c r="J76" s="64"/>
      <c r="K76" s="65"/>
      <c r="L76" s="58"/>
      <c r="M76" s="60"/>
      <c r="N76" s="61"/>
      <c r="O76" s="62"/>
      <c r="P76" s="63"/>
      <c r="Q76" s="165">
        <f t="shared" si="37"/>
        <v>0</v>
      </c>
      <c r="R76" s="165">
        <f t="shared" si="38"/>
        <v>0</v>
      </c>
      <c r="S76" s="165">
        <f t="shared" si="39"/>
        <v>0</v>
      </c>
      <c r="U76" s="163">
        <f t="shared" si="30"/>
        <v>0</v>
      </c>
      <c r="V76" s="163">
        <f t="shared" si="31"/>
        <v>0</v>
      </c>
      <c r="W76" s="163">
        <f t="shared" si="32"/>
        <v>0</v>
      </c>
      <c r="X76" s="163">
        <f t="shared" si="33"/>
        <v>0</v>
      </c>
      <c r="Y76" s="163">
        <f t="shared" si="34"/>
        <v>0</v>
      </c>
      <c r="Z76" s="163">
        <f t="shared" si="35"/>
        <v>0</v>
      </c>
      <c r="AA76" s="163">
        <f t="shared" si="40"/>
        <v>0</v>
      </c>
      <c r="AB76" s="163">
        <f t="shared" si="40"/>
        <v>0</v>
      </c>
      <c r="AC76" s="163">
        <f t="shared" si="40"/>
        <v>0</v>
      </c>
      <c r="AE76" s="51" t="s">
        <v>164</v>
      </c>
      <c r="AF76" s="55">
        <v>0.12</v>
      </c>
      <c r="AG76" s="33">
        <v>4</v>
      </c>
      <c r="AH76" s="33">
        <v>0.7</v>
      </c>
      <c r="AI76" s="33">
        <v>2.5</v>
      </c>
      <c r="AJ76" s="192"/>
      <c r="AK76" s="67"/>
      <c r="AL76" s="54"/>
      <c r="AM76" s="54"/>
      <c r="AN76" s="54"/>
      <c r="AP76" s="127">
        <v>80</v>
      </c>
      <c r="AQ76" s="57">
        <f>D76*AP76</f>
        <v>0</v>
      </c>
      <c r="AS76" s="39" t="b">
        <f t="shared" si="36"/>
        <v>0</v>
      </c>
      <c r="AU76" s="152">
        <f>Q76-'P25'!Q76</f>
        <v>0</v>
      </c>
      <c r="AV76" s="152">
        <f>R76-'P25'!R76</f>
        <v>0</v>
      </c>
      <c r="AW76" s="152">
        <f>S76-'P25'!S76</f>
        <v>0</v>
      </c>
    </row>
    <row r="77" spans="2:49" s="5" customFormat="1" ht="14.25" customHeight="1" x14ac:dyDescent="0.25">
      <c r="B77" s="158" t="s">
        <v>93</v>
      </c>
      <c r="C77" s="36"/>
      <c r="D77" s="10"/>
      <c r="E77" s="10"/>
      <c r="F77" s="45">
        <f>IF(D77=0,0,E77/D77)</f>
        <v>0</v>
      </c>
      <c r="G77" s="10"/>
      <c r="H77" s="58"/>
      <c r="I77" s="58"/>
      <c r="J77" s="64"/>
      <c r="K77" s="65"/>
      <c r="L77" s="58"/>
      <c r="M77" s="60"/>
      <c r="N77" s="61"/>
      <c r="O77" s="62"/>
      <c r="P77" s="69"/>
      <c r="Q77" s="165">
        <f t="shared" si="37"/>
        <v>0</v>
      </c>
      <c r="R77" s="165">
        <f t="shared" si="38"/>
        <v>0</v>
      </c>
      <c r="S77" s="165">
        <f t="shared" si="39"/>
        <v>0</v>
      </c>
      <c r="U77" s="163">
        <f t="shared" si="30"/>
        <v>0</v>
      </c>
      <c r="V77" s="163">
        <f t="shared" si="31"/>
        <v>0</v>
      </c>
      <c r="W77" s="163">
        <f t="shared" si="32"/>
        <v>0</v>
      </c>
      <c r="X77" s="163">
        <f t="shared" si="33"/>
        <v>0</v>
      </c>
      <c r="Y77" s="163">
        <f t="shared" si="34"/>
        <v>0</v>
      </c>
      <c r="Z77" s="163">
        <f t="shared" si="35"/>
        <v>0</v>
      </c>
      <c r="AA77" s="163">
        <f>U77+X77</f>
        <v>0</v>
      </c>
      <c r="AB77" s="163">
        <f>V77+Y77</f>
        <v>0</v>
      </c>
      <c r="AC77" s="163">
        <f>W77+Z77</f>
        <v>0</v>
      </c>
      <c r="AE77" s="70"/>
      <c r="AF77" s="55"/>
      <c r="AG77" s="33">
        <v>2.5</v>
      </c>
      <c r="AH77" s="33">
        <v>0.4</v>
      </c>
      <c r="AI77" s="33">
        <v>4</v>
      </c>
      <c r="AJ77" s="193"/>
      <c r="AK77" s="67"/>
      <c r="AL77" s="54"/>
      <c r="AM77" s="54"/>
      <c r="AN77" s="54"/>
      <c r="AP77" s="68"/>
      <c r="AQ77" s="68"/>
      <c r="AS77" s="39" t="b">
        <f t="shared" si="36"/>
        <v>0</v>
      </c>
      <c r="AU77" s="152">
        <f>Q77-'P25'!Q77</f>
        <v>0</v>
      </c>
      <c r="AV77" s="152">
        <f>R77-'P25'!R77</f>
        <v>0</v>
      </c>
      <c r="AW77" s="152">
        <f>S77-'P25'!S77</f>
        <v>0</v>
      </c>
    </row>
    <row r="78" spans="2:49" s="5" customFormat="1" ht="14.25" customHeight="1" x14ac:dyDescent="0.25">
      <c r="B78" s="158" t="s">
        <v>254</v>
      </c>
      <c r="C78" s="36"/>
      <c r="D78" s="10"/>
      <c r="E78" s="10"/>
      <c r="F78" s="45">
        <f>IF(D78=0,0,E78/D78)</f>
        <v>0</v>
      </c>
      <c r="G78" s="10"/>
      <c r="H78" s="58"/>
      <c r="I78" s="58"/>
      <c r="J78" s="64"/>
      <c r="K78" s="65"/>
      <c r="L78" s="58"/>
      <c r="M78" s="60"/>
      <c r="N78" s="61"/>
      <c r="O78" s="62"/>
      <c r="P78" s="204"/>
      <c r="Q78" s="165">
        <f t="shared" si="37"/>
        <v>0</v>
      </c>
      <c r="R78" s="165">
        <f t="shared" si="38"/>
        <v>0</v>
      </c>
      <c r="S78" s="165">
        <f t="shared" si="39"/>
        <v>0</v>
      </c>
      <c r="U78" s="163">
        <f t="shared" si="30"/>
        <v>0</v>
      </c>
      <c r="V78" s="163">
        <f t="shared" si="31"/>
        <v>0</v>
      </c>
      <c r="W78" s="163">
        <f t="shared" si="32"/>
        <v>0</v>
      </c>
      <c r="X78" s="163">
        <f t="shared" si="33"/>
        <v>0</v>
      </c>
      <c r="Y78" s="163">
        <f t="shared" si="34"/>
        <v>0</v>
      </c>
      <c r="Z78" s="163">
        <f t="shared" si="35"/>
        <v>0</v>
      </c>
      <c r="AA78" s="163">
        <f t="shared" si="40"/>
        <v>0</v>
      </c>
      <c r="AB78" s="163">
        <f t="shared" si="40"/>
        <v>0</v>
      </c>
      <c r="AC78" s="163">
        <f t="shared" si="40"/>
        <v>0</v>
      </c>
      <c r="AE78" s="70"/>
      <c r="AF78" s="55">
        <v>0.15</v>
      </c>
      <c r="AG78" s="201">
        <v>1.7</v>
      </c>
      <c r="AH78" s="201">
        <v>0.2</v>
      </c>
      <c r="AI78" s="201">
        <v>2.2999999999999998</v>
      </c>
      <c r="AJ78" s="193"/>
      <c r="AK78" s="67"/>
      <c r="AL78" s="54"/>
      <c r="AM78" s="54"/>
      <c r="AN78" s="54"/>
      <c r="AP78" s="68"/>
      <c r="AQ78" s="68"/>
      <c r="AS78" s="203" t="b">
        <f t="shared" si="36"/>
        <v>0</v>
      </c>
      <c r="AU78" s="152">
        <f>Q78-'P25'!Q78</f>
        <v>0</v>
      </c>
      <c r="AV78" s="152">
        <f>R78-'P25'!R78</f>
        <v>0</v>
      </c>
      <c r="AW78" s="152">
        <f>S78-'P25'!S78</f>
        <v>0</v>
      </c>
    </row>
    <row r="79" spans="2:49" s="5" customFormat="1" ht="14.25" customHeight="1" x14ac:dyDescent="0.25">
      <c r="B79" s="691" t="s">
        <v>233</v>
      </c>
      <c r="C79" s="692"/>
      <c r="D79" s="10"/>
      <c r="E79" s="71"/>
      <c r="F79" s="72"/>
      <c r="G79" s="72"/>
      <c r="H79" s="58"/>
      <c r="I79" s="58"/>
      <c r="J79" s="64"/>
      <c r="K79" s="65"/>
      <c r="L79" s="58"/>
      <c r="M79" s="60"/>
      <c r="N79" s="61"/>
      <c r="O79" s="62"/>
      <c r="P79" s="69"/>
      <c r="Q79" s="69">
        <f t="shared" si="37"/>
        <v>0</v>
      </c>
      <c r="R79" s="69">
        <f t="shared" si="38"/>
        <v>0</v>
      </c>
      <c r="S79" s="69">
        <f t="shared" si="39"/>
        <v>0</v>
      </c>
      <c r="U79" s="76"/>
      <c r="V79" s="76"/>
      <c r="W79" s="76"/>
      <c r="X79" s="76"/>
      <c r="Y79" s="76"/>
      <c r="Z79" s="76"/>
      <c r="AA79" s="68">
        <f t="shared" ref="AA79:AC80" si="41">U79+X79</f>
        <v>0</v>
      </c>
      <c r="AB79" s="68">
        <f t="shared" si="41"/>
        <v>0</v>
      </c>
      <c r="AC79" s="68">
        <f t="shared" si="41"/>
        <v>0</v>
      </c>
      <c r="AE79" s="73"/>
      <c r="AF79" s="74"/>
      <c r="AG79" s="37"/>
      <c r="AH79" s="37"/>
      <c r="AI79" s="37"/>
      <c r="AJ79" s="193"/>
      <c r="AK79" s="67"/>
      <c r="AL79" s="54"/>
      <c r="AM79" s="54"/>
      <c r="AN79" s="54"/>
      <c r="AP79" s="75"/>
      <c r="AQ79" s="68"/>
      <c r="AS79" s="125"/>
      <c r="AU79" s="152">
        <f>Q79-'P25'!Q79</f>
        <v>0</v>
      </c>
      <c r="AV79" s="152">
        <f>R79-'P25'!R79</f>
        <v>0</v>
      </c>
      <c r="AW79" s="152">
        <f>S79-'P25'!S79</f>
        <v>0</v>
      </c>
    </row>
    <row r="80" spans="2:49" s="4" customFormat="1" ht="14.25" customHeight="1" thickBot="1" x14ac:dyDescent="0.3">
      <c r="B80" s="695" t="s">
        <v>194</v>
      </c>
      <c r="C80" s="696"/>
      <c r="D80" s="77">
        <f>(SUM(D10:D79))-D57-D62</f>
        <v>0</v>
      </c>
      <c r="E80" s="78"/>
      <c r="F80" s="79"/>
      <c r="G80" s="79"/>
      <c r="H80" s="77">
        <f>(SUM(H10:H78))</f>
        <v>0</v>
      </c>
      <c r="I80" s="77"/>
      <c r="J80" s="80"/>
      <c r="K80" s="81"/>
      <c r="L80" s="77"/>
      <c r="M80" s="47"/>
      <c r="N80" s="178" t="s">
        <v>427</v>
      </c>
      <c r="O80" s="177">
        <f>SUM(O10:O78)-O29-O30-O31</f>
        <v>0</v>
      </c>
      <c r="P80" s="82"/>
      <c r="Q80" s="171">
        <f>IF($D$3=0,0,AA80/$D$3)</f>
        <v>0</v>
      </c>
      <c r="R80" s="171">
        <f>IF($D$3=0,0,AB80/$D$3)</f>
        <v>0</v>
      </c>
      <c r="S80" s="171">
        <f>IF($D$3=0,0,AC80/$D$3)</f>
        <v>0</v>
      </c>
      <c r="U80" s="166">
        <f t="shared" ref="U80:Z80" si="42">SUM(U10:U78)</f>
        <v>0</v>
      </c>
      <c r="V80" s="166">
        <f t="shared" si="42"/>
        <v>0</v>
      </c>
      <c r="W80" s="166">
        <f t="shared" si="42"/>
        <v>0</v>
      </c>
      <c r="X80" s="166">
        <f t="shared" si="42"/>
        <v>0</v>
      </c>
      <c r="Y80" s="166">
        <f t="shared" si="42"/>
        <v>0</v>
      </c>
      <c r="Z80" s="166">
        <f t="shared" si="42"/>
        <v>0</v>
      </c>
      <c r="AA80" s="167">
        <f t="shared" si="41"/>
        <v>0</v>
      </c>
      <c r="AB80" s="167">
        <f t="shared" si="41"/>
        <v>0</v>
      </c>
      <c r="AC80" s="167">
        <f t="shared" si="41"/>
        <v>0</v>
      </c>
      <c r="AE80" s="83"/>
      <c r="AF80" s="83"/>
      <c r="AG80" s="83"/>
      <c r="AH80" s="83"/>
      <c r="AI80" s="83"/>
      <c r="AJ80" s="194"/>
      <c r="AK80" s="84"/>
      <c r="AL80" s="84"/>
      <c r="AM80" s="84"/>
      <c r="AN80" s="84"/>
      <c r="AP80" s="168"/>
      <c r="AQ80" s="169">
        <f>SUM(AQ10:AQ79)</f>
        <v>0</v>
      </c>
      <c r="AS80" s="126"/>
      <c r="AU80" s="152">
        <f>Q80-'P25'!Q80</f>
        <v>0</v>
      </c>
      <c r="AV80" s="152">
        <f>R80-'P25'!R80</f>
        <v>0</v>
      </c>
      <c r="AW80" s="152">
        <f>S80-'P25'!S80</f>
        <v>0</v>
      </c>
    </row>
    <row r="81" spans="2:49" ht="15.75" thickBot="1" x14ac:dyDescent="0.3">
      <c r="B81" s="693" t="s">
        <v>207</v>
      </c>
      <c r="C81" s="694"/>
      <c r="D81" s="97">
        <f>D80-D3+0.000000000001</f>
        <v>9.9999999999999998E-13</v>
      </c>
      <c r="M81" s="181"/>
      <c r="N81" s="182" t="s">
        <v>428</v>
      </c>
      <c r="O81" s="183">
        <f>O29+O30</f>
        <v>0</v>
      </c>
      <c r="AF81" s="38"/>
      <c r="AQ81" s="92">
        <f>IF(D3=0,0,AQ80/D3)</f>
        <v>0</v>
      </c>
      <c r="AU81" s="152">
        <f>Q81-'P25'!Q81</f>
        <v>0</v>
      </c>
      <c r="AV81" s="152">
        <f>R81-'P25'!R81</f>
        <v>0</v>
      </c>
      <c r="AW81" s="152">
        <f>S81-'P25'!S81</f>
        <v>0</v>
      </c>
    </row>
    <row r="83" spans="2:49" x14ac:dyDescent="0.25">
      <c r="B83" s="722" t="s">
        <v>613</v>
      </c>
      <c r="C83" s="722"/>
      <c r="D83" s="722"/>
      <c r="E83" s="722"/>
      <c r="F83" s="722"/>
      <c r="G83" s="722"/>
      <c r="H83" s="722"/>
    </row>
    <row r="84" spans="2:49" x14ac:dyDescent="0.25">
      <c r="F84" s="86"/>
      <c r="G84" s="86"/>
      <c r="AJ84" s="196"/>
    </row>
  </sheetData>
  <sheetProtection algorithmName="SHA-512" hashValue="I2pmdmexWDh4WaYhYabylTunWceNOSClM7jLs7igLoBNyd+BC422AlWYRaiUaVo4WoTy8W/pjvS35e0mWlJD/w==" saltValue="5MN23TeCZyyi8UkSHx3FUg==" spinCount="100000" sheet="1" formatCells="0" formatColumns="0" formatRows="0" selectLockedCells="1"/>
  <mergeCells count="52">
    <mergeCell ref="F1:G1"/>
    <mergeCell ref="B83:H83"/>
    <mergeCell ref="AP8:AQ8"/>
    <mergeCell ref="AP7:AQ7"/>
    <mergeCell ref="G2:M2"/>
    <mergeCell ref="G3:M3"/>
    <mergeCell ref="AP6:AQ6"/>
    <mergeCell ref="U8:W8"/>
    <mergeCell ref="X8:Z8"/>
    <mergeCell ref="AL8:AN8"/>
    <mergeCell ref="AA8:AC8"/>
    <mergeCell ref="U6:W6"/>
    <mergeCell ref="AJ8:AJ9"/>
    <mergeCell ref="E8:G8"/>
    <mergeCell ref="N2:O2"/>
    <mergeCell ref="N3:O3"/>
    <mergeCell ref="AJ6:AN6"/>
    <mergeCell ref="AJ7:AN7"/>
    <mergeCell ref="AG8:AI8"/>
    <mergeCell ref="O8:O9"/>
    <mergeCell ref="P8:P9"/>
    <mergeCell ref="H7:P7"/>
    <mergeCell ref="AE8:AE9"/>
    <mergeCell ref="J9:K9"/>
    <mergeCell ref="AK8:AK9"/>
    <mergeCell ref="Q8:S8"/>
    <mergeCell ref="AE7:AI7"/>
    <mergeCell ref="P2:Q2"/>
    <mergeCell ref="P3:Q3"/>
    <mergeCell ref="X6:Z6"/>
    <mergeCell ref="AE6:AI6"/>
    <mergeCell ref="AA6:AC6"/>
    <mergeCell ref="B74:B75"/>
    <mergeCell ref="B79:C79"/>
    <mergeCell ref="B81:C81"/>
    <mergeCell ref="B80:C80"/>
    <mergeCell ref="AF8:AF9"/>
    <mergeCell ref="B9:C9"/>
    <mergeCell ref="B7:D8"/>
    <mergeCell ref="E7:G7"/>
    <mergeCell ref="H8:N8"/>
    <mergeCell ref="B27:B28"/>
    <mergeCell ref="Q7:S7"/>
    <mergeCell ref="B10:B11"/>
    <mergeCell ref="B15:B16"/>
    <mergeCell ref="M9:N9"/>
    <mergeCell ref="U7:AC7"/>
    <mergeCell ref="B4:D4"/>
    <mergeCell ref="B5:C5"/>
    <mergeCell ref="B6:D6"/>
    <mergeCell ref="B1:D2"/>
    <mergeCell ref="B3:C3"/>
  </mergeCells>
  <conditionalFormatting sqref="O10:O26 D81">
    <cfRule type="cellIs" dxfId="137" priority="13" stopIfTrue="1" operator="lessThan">
      <formula>0</formula>
    </cfRule>
  </conditionalFormatting>
  <conditionalFormatting sqref="O29:O40">
    <cfRule type="cellIs" dxfId="136" priority="33" stopIfTrue="1" operator="lessThan">
      <formula>0</formula>
    </cfRule>
  </conditionalFormatting>
  <conditionalFormatting sqref="O57 O62">
    <cfRule type="cellIs" dxfId="135" priority="5" stopIfTrue="1" operator="lessThan">
      <formula>0</formula>
    </cfRule>
  </conditionalFormatting>
  <conditionalFormatting sqref="P57 T57:AD57 P62 T62:AD62">
    <cfRule type="cellIs" dxfId="134" priority="4" stopIfTrue="1" operator="equal">
      <formula>"!"</formula>
    </cfRule>
  </conditionalFormatting>
  <conditionalFormatting sqref="P10:S10">
    <cfRule type="cellIs" dxfId="133" priority="31" stopIfTrue="1" operator="equal">
      <formula>"!"</formula>
    </cfRule>
  </conditionalFormatting>
  <conditionalFormatting sqref="Q80:S80">
    <cfRule type="cellIs" dxfId="132" priority="1" stopIfTrue="1" operator="equal">
      <formula>"!"</formula>
    </cfRule>
  </conditionalFormatting>
  <conditionalFormatting sqref="T10:AD26 P11:P26 Q11:S78 P29:P40">
    <cfRule type="cellIs" dxfId="131" priority="11" stopIfTrue="1" operator="equal">
      <formula>"!"</formula>
    </cfRule>
  </conditionalFormatting>
  <conditionalFormatting sqref="T29:AD40">
    <cfRule type="cellIs" dxfId="130" priority="2" stopIfTrue="1" operator="equal">
      <formula>"!"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7ACB10-2E18-49B5-8E4C-F2E5BD49EBB9}">
  <sheetPr>
    <tabColor theme="8" tint="0.59999389629810485"/>
  </sheetPr>
  <dimension ref="B1:R80"/>
  <sheetViews>
    <sheetView showGridLines="0" zoomScale="90" zoomScaleNormal="90" workbookViewId="0">
      <selection activeCell="B3" sqref="B3:J3"/>
    </sheetView>
  </sheetViews>
  <sheetFormatPr defaultRowHeight="15" x14ac:dyDescent="0.25"/>
  <cols>
    <col min="1" max="1" width="2.5703125" customWidth="1"/>
    <col min="2" max="2" width="19.140625" customWidth="1"/>
    <col min="3" max="3" width="31.85546875" customWidth="1"/>
    <col min="4" max="4" width="14.7109375" customWidth="1"/>
    <col min="5" max="5" width="11.85546875" customWidth="1"/>
    <col min="6" max="6" width="14.28515625" customWidth="1"/>
    <col min="7" max="7" width="2" customWidth="1"/>
    <col min="8" max="8" width="43.85546875" customWidth="1"/>
    <col min="9" max="9" width="19" customWidth="1"/>
    <col min="10" max="10" width="10.140625" customWidth="1"/>
    <col min="11" max="11" width="8.28515625" style="21" customWidth="1"/>
    <col min="12" max="12" width="9.7109375" customWidth="1"/>
    <col min="13" max="13" width="11.85546875" customWidth="1"/>
    <col min="14" max="14" width="7.42578125" customWidth="1"/>
    <col min="15" max="15" width="12.140625" customWidth="1"/>
  </cols>
  <sheetData>
    <row r="1" spans="2:15" ht="24.75" customHeight="1" x14ac:dyDescent="0.25">
      <c r="B1" s="913" t="s">
        <v>598</v>
      </c>
      <c r="C1" s="913"/>
      <c r="D1" s="913"/>
      <c r="E1" s="913"/>
      <c r="F1" s="913"/>
      <c r="G1" s="913"/>
      <c r="H1" s="913"/>
      <c r="I1" s="913"/>
      <c r="J1" s="913"/>
      <c r="K1" s="913"/>
    </row>
    <row r="2" spans="2:15" ht="17.25" customHeight="1" x14ac:dyDescent="0.25">
      <c r="B2" s="849" t="s">
        <v>560</v>
      </c>
      <c r="C2" s="849"/>
      <c r="D2" s="849"/>
      <c r="E2" s="849"/>
      <c r="F2" s="849"/>
      <c r="G2" s="849"/>
      <c r="H2" s="849"/>
      <c r="I2" s="849"/>
      <c r="J2" s="849"/>
      <c r="K2" s="849"/>
      <c r="L2" s="172"/>
      <c r="M2" s="172"/>
      <c r="N2" s="172"/>
    </row>
    <row r="3" spans="2:15" ht="30" customHeight="1" x14ac:dyDescent="0.25">
      <c r="B3" s="903" t="s">
        <v>550</v>
      </c>
      <c r="C3" s="903"/>
      <c r="D3" s="903"/>
      <c r="E3" s="903"/>
      <c r="F3" s="903"/>
      <c r="G3" s="903"/>
      <c r="H3" s="903"/>
      <c r="I3" s="903"/>
      <c r="J3" s="903"/>
      <c r="K3" s="571"/>
      <c r="L3" s="572"/>
      <c r="M3" s="573"/>
    </row>
    <row r="4" spans="2:15" ht="17.100000000000001" customHeight="1" x14ac:dyDescent="0.25">
      <c r="B4" s="904" t="s">
        <v>474</v>
      </c>
      <c r="C4" s="904"/>
      <c r="D4" s="904"/>
      <c r="E4" s="904"/>
      <c r="F4" s="904"/>
      <c r="G4" s="99"/>
      <c r="H4" s="904" t="s">
        <v>487</v>
      </c>
      <c r="I4" s="877"/>
      <c r="J4" s="877"/>
      <c r="K4" s="574"/>
      <c r="L4" s="5"/>
      <c r="M4" s="575"/>
      <c r="N4" s="575"/>
    </row>
    <row r="5" spans="2:15" ht="17.100000000000001" customHeight="1" x14ac:dyDescent="0.25">
      <c r="B5" s="576" t="s">
        <v>468</v>
      </c>
      <c r="C5" s="933" t="str">
        <f>IF('P24'!G2=0,"",'P24'!G2)</f>
        <v/>
      </c>
      <c r="D5" s="933"/>
      <c r="E5" s="933"/>
      <c r="F5" s="933"/>
      <c r="G5" s="223"/>
      <c r="H5" s="930"/>
      <c r="I5" s="916" t="s">
        <v>491</v>
      </c>
      <c r="J5" s="916" t="s">
        <v>488</v>
      </c>
      <c r="K5" s="916"/>
      <c r="L5" s="5"/>
      <c r="M5" s="577"/>
      <c r="N5" s="577"/>
    </row>
    <row r="6" spans="2:15" ht="17.100000000000001" customHeight="1" x14ac:dyDescent="0.25">
      <c r="B6" s="576" t="s">
        <v>469</v>
      </c>
      <c r="C6" s="578" t="str">
        <f>IF('P24'!E2=0,"",'P24'!E2)</f>
        <v/>
      </c>
      <c r="D6" s="579" t="s">
        <v>346</v>
      </c>
      <c r="E6" s="850" t="str">
        <f>IF('P24'!E4=0,"",'P24'!E4)</f>
        <v/>
      </c>
      <c r="F6" s="851"/>
      <c r="G6" s="223"/>
      <c r="H6" s="931"/>
      <c r="I6" s="916"/>
      <c r="J6" s="917"/>
      <c r="K6" s="917"/>
      <c r="L6" s="5"/>
      <c r="M6" s="577"/>
    </row>
    <row r="7" spans="2:15" ht="17.100000000000001" customHeight="1" x14ac:dyDescent="0.25">
      <c r="B7" s="576" t="s">
        <v>208</v>
      </c>
      <c r="C7" s="934">
        <f>'P26'!G5</f>
        <v>2026</v>
      </c>
      <c r="D7" s="934"/>
      <c r="E7" s="934"/>
      <c r="F7" s="934"/>
      <c r="G7" s="223"/>
      <c r="H7" s="871" t="s">
        <v>549</v>
      </c>
      <c r="I7" s="905">
        <f>IF('P26'!D3=0,0,'P26'!D3)</f>
        <v>0</v>
      </c>
      <c r="J7" s="918">
        <f>'P26'!D5</f>
        <v>0</v>
      </c>
      <c r="K7" s="918"/>
      <c r="L7" s="5"/>
      <c r="M7" s="577"/>
    </row>
    <row r="8" spans="2:15" ht="17.100000000000001" customHeight="1" x14ac:dyDescent="0.25">
      <c r="B8" s="902" t="s">
        <v>554</v>
      </c>
      <c r="C8" s="902"/>
      <c r="D8" s="902"/>
      <c r="E8" s="902"/>
      <c r="F8" s="902"/>
      <c r="G8" s="223"/>
      <c r="H8" s="871"/>
      <c r="I8" s="905"/>
      <c r="J8" s="918"/>
      <c r="K8" s="918"/>
      <c r="L8" s="5"/>
      <c r="M8" s="575"/>
    </row>
    <row r="9" spans="2:15" ht="17.100000000000001" customHeight="1" x14ac:dyDescent="0.25">
      <c r="B9" s="911"/>
      <c r="C9" s="912"/>
      <c r="D9" s="855" t="s">
        <v>471</v>
      </c>
      <c r="E9" s="855"/>
      <c r="F9" s="855"/>
      <c r="G9" s="223"/>
      <c r="H9" s="871" t="s">
        <v>507</v>
      </c>
      <c r="I9" s="920">
        <f>IF('P25'!D3=0,0,'P25'!D3)</f>
        <v>0</v>
      </c>
      <c r="J9" s="919" t="s">
        <v>276</v>
      </c>
      <c r="K9" s="919"/>
      <c r="L9" s="5"/>
      <c r="M9" s="580"/>
    </row>
    <row r="10" spans="2:15" ht="17.100000000000001" customHeight="1" x14ac:dyDescent="0.25">
      <c r="B10" s="906" t="s">
        <v>211</v>
      </c>
      <c r="C10" s="907"/>
      <c r="D10" s="856">
        <f>ROUND('P25'!V80/1000,3)</f>
        <v>0</v>
      </c>
      <c r="E10" s="857"/>
      <c r="F10" s="858"/>
      <c r="G10" s="180"/>
      <c r="H10" s="871"/>
      <c r="I10" s="920"/>
      <c r="J10" s="920"/>
      <c r="K10" s="920"/>
      <c r="L10" s="5"/>
      <c r="M10" s="580"/>
    </row>
    <row r="11" spans="2:15" ht="17.100000000000001" customHeight="1" x14ac:dyDescent="0.25">
      <c r="B11" s="871" t="s">
        <v>212</v>
      </c>
      <c r="C11" s="908"/>
      <c r="D11" s="859">
        <f>ROUND('P25'!Y80/1000,3)</f>
        <v>0</v>
      </c>
      <c r="E11" s="860"/>
      <c r="F11" s="861"/>
      <c r="G11" s="581"/>
      <c r="M11" s="582"/>
    </row>
    <row r="12" spans="2:15" ht="17.100000000000001" customHeight="1" x14ac:dyDescent="0.25">
      <c r="B12" s="909" t="s">
        <v>464</v>
      </c>
      <c r="C12" s="910"/>
      <c r="D12" s="862">
        <f>D10+D11</f>
        <v>0</v>
      </c>
      <c r="E12" s="863"/>
      <c r="F12" s="864"/>
      <c r="G12" s="581"/>
      <c r="H12" s="877" t="s">
        <v>476</v>
      </c>
      <c r="I12" s="877"/>
      <c r="J12" s="877"/>
      <c r="K12" s="877"/>
      <c r="L12" s="132"/>
    </row>
    <row r="13" spans="2:15" ht="17.100000000000001" customHeight="1" x14ac:dyDescent="0.25">
      <c r="B13" s="902" t="s">
        <v>555</v>
      </c>
      <c r="C13" s="902"/>
      <c r="D13" s="902"/>
      <c r="E13" s="902"/>
      <c r="F13" s="902"/>
      <c r="G13" s="581"/>
      <c r="H13" s="866" t="s">
        <v>478</v>
      </c>
      <c r="I13" s="875"/>
      <c r="J13" s="583">
        <f>D12</f>
        <v>0</v>
      </c>
      <c r="K13" s="584" t="s">
        <v>209</v>
      </c>
      <c r="L13" s="585"/>
      <c r="M13" s="5"/>
      <c r="N13" s="5"/>
      <c r="O13" s="5"/>
    </row>
    <row r="14" spans="2:15" ht="17.100000000000001" customHeight="1" x14ac:dyDescent="0.25">
      <c r="B14" s="911"/>
      <c r="C14" s="912"/>
      <c r="D14" s="855" t="s">
        <v>472</v>
      </c>
      <c r="E14" s="855"/>
      <c r="F14" s="855"/>
      <c r="G14" s="586"/>
      <c r="H14" s="866" t="s">
        <v>551</v>
      </c>
      <c r="I14" s="875"/>
      <c r="J14" s="587" t="str">
        <f>IF(I7=0,"",IF(J13=0,20,IF(I9=0,0,ROUND(J13*1000/I9,2))))</f>
        <v/>
      </c>
      <c r="K14" s="588" t="s">
        <v>261</v>
      </c>
      <c r="L14" s="585"/>
      <c r="M14" s="5"/>
      <c r="N14" s="5"/>
      <c r="O14" s="5"/>
    </row>
    <row r="15" spans="2:15" ht="17.100000000000001" customHeight="1" x14ac:dyDescent="0.25">
      <c r="B15" s="906" t="s">
        <v>211</v>
      </c>
      <c r="C15" s="907"/>
      <c r="D15" s="856">
        <f>ROUND('P26'!U80/1000,3)</f>
        <v>0</v>
      </c>
      <c r="E15" s="857"/>
      <c r="F15" s="858"/>
      <c r="G15" s="586"/>
      <c r="H15" s="866" t="s">
        <v>466</v>
      </c>
      <c r="I15" s="875"/>
      <c r="J15" s="589" t="str">
        <f>F28</f>
        <v/>
      </c>
      <c r="K15" s="590"/>
      <c r="L15" s="312"/>
    </row>
    <row r="16" spans="2:15" ht="17.100000000000001" customHeight="1" x14ac:dyDescent="0.25">
      <c r="B16" s="871" t="s">
        <v>212</v>
      </c>
      <c r="C16" s="908"/>
      <c r="D16" s="859">
        <f>ROUND('P26'!X80/1000,3)</f>
        <v>0</v>
      </c>
      <c r="E16" s="860"/>
      <c r="F16" s="861"/>
      <c r="G16" s="586"/>
      <c r="H16" s="875" t="s">
        <v>552</v>
      </c>
      <c r="I16" s="876"/>
      <c r="J16" s="589">
        <f>I7</f>
        <v>0</v>
      </c>
      <c r="K16" s="591" t="s">
        <v>143</v>
      </c>
      <c r="L16" s="585"/>
    </row>
    <row r="17" spans="2:18" ht="17.100000000000001" customHeight="1" x14ac:dyDescent="0.25">
      <c r="B17" s="909" t="s">
        <v>464</v>
      </c>
      <c r="C17" s="910"/>
      <c r="D17" s="862">
        <f>D15+D16</f>
        <v>0</v>
      </c>
      <c r="E17" s="863"/>
      <c r="F17" s="864"/>
      <c r="G17" s="592"/>
      <c r="H17" s="890" t="s">
        <v>479</v>
      </c>
      <c r="I17" s="891"/>
      <c r="J17" s="593" t="str">
        <f>IF(I7=0,"",ROUND(J14*J15*J16/1000,3))</f>
        <v/>
      </c>
      <c r="K17" s="594" t="s">
        <v>209</v>
      </c>
      <c r="L17" s="585"/>
      <c r="M17" s="948"/>
      <c r="N17" s="948"/>
      <c r="O17" s="942"/>
      <c r="P17" s="942"/>
      <c r="Q17" s="595"/>
      <c r="R17" s="5"/>
    </row>
    <row r="18" spans="2:18" ht="17.100000000000001" customHeight="1" x14ac:dyDescent="0.25">
      <c r="B18" s="877" t="s">
        <v>475</v>
      </c>
      <c r="C18" s="877"/>
      <c r="D18" s="877"/>
      <c r="E18" s="877"/>
      <c r="F18" s="877"/>
      <c r="G18" s="581"/>
      <c r="H18" s="853" t="s">
        <v>480</v>
      </c>
      <c r="I18" s="871"/>
      <c r="J18" s="583">
        <f>E31</f>
        <v>0</v>
      </c>
      <c r="K18" s="584" t="s">
        <v>209</v>
      </c>
      <c r="L18" s="585"/>
      <c r="R18" s="5"/>
    </row>
    <row r="19" spans="2:18" ht="17.100000000000001" customHeight="1" x14ac:dyDescent="0.25">
      <c r="B19" s="878" t="s">
        <v>213</v>
      </c>
      <c r="C19" s="879"/>
      <c r="D19" s="924" t="s">
        <v>557</v>
      </c>
      <c r="E19" s="925"/>
      <c r="F19" s="917" t="s">
        <v>210</v>
      </c>
      <c r="G19" s="581"/>
      <c r="H19" s="853" t="s">
        <v>486</v>
      </c>
      <c r="I19" s="871"/>
      <c r="J19" s="593">
        <f>E33</f>
        <v>0</v>
      </c>
      <c r="K19" s="594" t="s">
        <v>209</v>
      </c>
      <c r="L19" s="585"/>
      <c r="R19" s="5"/>
    </row>
    <row r="20" spans="2:18" ht="17.100000000000001" customHeight="1" x14ac:dyDescent="0.25">
      <c r="B20" s="880"/>
      <c r="C20" s="881"/>
      <c r="D20" s="926"/>
      <c r="E20" s="927"/>
      <c r="F20" s="935"/>
      <c r="G20" s="581"/>
      <c r="H20" s="872" t="s">
        <v>481</v>
      </c>
      <c r="I20" s="873"/>
      <c r="J20" s="583" t="str">
        <f>IF(I7=0,"",J18-J17)</f>
        <v/>
      </c>
      <c r="K20" s="584" t="s">
        <v>209</v>
      </c>
      <c r="L20" s="585"/>
    </row>
    <row r="21" spans="2:18" ht="17.100000000000001" customHeight="1" thickBot="1" x14ac:dyDescent="0.3">
      <c r="B21" s="882"/>
      <c r="C21" s="883"/>
      <c r="D21" s="928"/>
      <c r="E21" s="929"/>
      <c r="F21" s="936"/>
      <c r="G21" s="596"/>
      <c r="H21" s="892" t="s">
        <v>482</v>
      </c>
      <c r="I21" s="893"/>
      <c r="J21" s="597" t="str">
        <f>IF(I7=0,"",ROUND(J20*1000/J16,2))</f>
        <v/>
      </c>
      <c r="K21" s="598" t="s">
        <v>261</v>
      </c>
      <c r="L21" s="599"/>
      <c r="M21" s="5"/>
      <c r="N21" s="5"/>
    </row>
    <row r="22" spans="2:18" ht="17.100000000000001" customHeight="1" x14ac:dyDescent="0.25">
      <c r="B22" s="906" t="s">
        <v>217</v>
      </c>
      <c r="C22" s="932"/>
      <c r="D22" s="884"/>
      <c r="E22" s="885"/>
      <c r="F22" s="600">
        <v>1.5</v>
      </c>
      <c r="G22" s="596"/>
      <c r="H22" s="894" t="s">
        <v>553</v>
      </c>
      <c r="I22" s="894"/>
      <c r="J22" s="946" t="str">
        <f>IF(I7=0,"",ROUND(J7/I7*100,2))</f>
        <v/>
      </c>
      <c r="K22" s="943" t="s">
        <v>9</v>
      </c>
      <c r="L22" s="601">
        <f>IF(J22=100,1,0)</f>
        <v>0</v>
      </c>
      <c r="N22" s="5"/>
    </row>
    <row r="23" spans="2:18" ht="17.100000000000001" customHeight="1" x14ac:dyDescent="0.25">
      <c r="B23" s="871" t="s">
        <v>218</v>
      </c>
      <c r="C23" s="901"/>
      <c r="D23" s="937"/>
      <c r="E23" s="938"/>
      <c r="F23" s="602">
        <v>1</v>
      </c>
      <c r="G23" s="596"/>
      <c r="H23" s="894"/>
      <c r="I23" s="894"/>
      <c r="J23" s="947"/>
      <c r="K23" s="944"/>
      <c r="L23" s="603"/>
    </row>
    <row r="24" spans="2:18" ht="17.100000000000001" customHeight="1" x14ac:dyDescent="0.25">
      <c r="B24" s="871" t="s">
        <v>219</v>
      </c>
      <c r="C24" s="901"/>
      <c r="D24" s="937"/>
      <c r="E24" s="938"/>
      <c r="F24" s="602">
        <v>0.5</v>
      </c>
      <c r="G24" s="596"/>
      <c r="H24" s="894" t="s">
        <v>483</v>
      </c>
      <c r="I24" s="895"/>
      <c r="J24" s="604" t="str">
        <f>IF(J18=0,"",ROUND(D33/D31*100,2))</f>
        <v/>
      </c>
      <c r="K24" s="605" t="s">
        <v>9</v>
      </c>
      <c r="L24" s="601">
        <f>IF(J24=100,1,0)</f>
        <v>0</v>
      </c>
      <c r="N24" s="5"/>
    </row>
    <row r="25" spans="2:18" ht="17.100000000000001" customHeight="1" x14ac:dyDescent="0.25">
      <c r="B25" s="871" t="s">
        <v>220</v>
      </c>
      <c r="C25" s="901"/>
      <c r="D25" s="937"/>
      <c r="E25" s="938"/>
      <c r="F25" s="602">
        <v>0</v>
      </c>
      <c r="G25" s="596"/>
      <c r="H25" s="870" t="s">
        <v>496</v>
      </c>
      <c r="I25" s="870"/>
      <c r="J25" s="914" t="str">
        <f>IF(J21="","",IF(J21&gt;10,"nesplněno",IF(J21&lt;-2,"nesplněno",IF(J21&lt;0,IF(L22+L24=0,"částečně splněno","splněno"),"splněno"))))</f>
        <v/>
      </c>
      <c r="K25" s="914"/>
      <c r="L25" s="601">
        <f>IF(J25="splněno",1,IF(J25="částečně splněno",0.5,0))</f>
        <v>0</v>
      </c>
      <c r="N25" s="5"/>
      <c r="O25" s="5"/>
    </row>
    <row r="26" spans="2:18" ht="17.100000000000001" customHeight="1" thickBot="1" x14ac:dyDescent="0.3">
      <c r="B26" s="868" t="s">
        <v>221</v>
      </c>
      <c r="C26" s="869"/>
      <c r="D26" s="939"/>
      <c r="E26" s="940"/>
      <c r="F26" s="602">
        <v>0</v>
      </c>
      <c r="G26" s="596"/>
      <c r="H26" s="923" t="s">
        <v>477</v>
      </c>
      <c r="I26" s="923"/>
      <c r="J26" s="132"/>
      <c r="K26" s="500"/>
      <c r="L26" s="606"/>
    </row>
    <row r="27" spans="2:18" ht="17.100000000000001" customHeight="1" x14ac:dyDescent="0.25">
      <c r="B27" s="866" t="s">
        <v>473</v>
      </c>
      <c r="C27" s="866"/>
      <c r="D27" s="941">
        <f>D28-SUM(D22:E26)</f>
        <v>0</v>
      </c>
      <c r="E27" s="941"/>
      <c r="F27" s="602">
        <v>1</v>
      </c>
      <c r="G27" s="596"/>
      <c r="H27" s="853" t="s">
        <v>484</v>
      </c>
      <c r="I27" s="871"/>
      <c r="J27" s="607">
        <f>D17</f>
        <v>0</v>
      </c>
      <c r="K27" s="608" t="s">
        <v>255</v>
      </c>
      <c r="L27" s="606"/>
    </row>
    <row r="28" spans="2:18" ht="17.100000000000001" customHeight="1" x14ac:dyDescent="0.25">
      <c r="B28" s="945" t="s">
        <v>501</v>
      </c>
      <c r="C28" s="945"/>
      <c r="D28" s="854">
        <f>I7</f>
        <v>0</v>
      </c>
      <c r="E28" s="854"/>
      <c r="F28" s="609" t="str">
        <f>IF(I7=0,"",ROUND(IF(D28=0,0,(D22*F22+D23*F23+D24*F24+D25*F25+D26*F26+D27*F27)/D28),2))</f>
        <v/>
      </c>
      <c r="G28" s="596"/>
      <c r="H28" s="853" t="s">
        <v>485</v>
      </c>
      <c r="I28" s="871"/>
      <c r="J28" s="610">
        <f>F35</f>
        <v>0</v>
      </c>
      <c r="K28" s="611" t="s">
        <v>255</v>
      </c>
      <c r="L28" s="603"/>
    </row>
    <row r="29" spans="2:18" ht="17.100000000000001" customHeight="1" x14ac:dyDescent="0.25">
      <c r="B29" s="874" t="s">
        <v>556</v>
      </c>
      <c r="C29" s="874"/>
      <c r="D29" s="874"/>
      <c r="E29" s="874"/>
      <c r="F29" s="874"/>
      <c r="G29" s="596"/>
      <c r="H29" s="853" t="s">
        <v>492</v>
      </c>
      <c r="I29" s="871"/>
      <c r="J29" s="607">
        <f>J28-J27</f>
        <v>0</v>
      </c>
      <c r="K29" s="608" t="s">
        <v>255</v>
      </c>
      <c r="L29" s="603"/>
    </row>
    <row r="30" spans="2:18" ht="17.100000000000001" customHeight="1" x14ac:dyDescent="0.25">
      <c r="B30" s="865"/>
      <c r="C30" s="865"/>
      <c r="D30" s="612" t="s">
        <v>503</v>
      </c>
      <c r="E30" s="613" t="s">
        <v>471</v>
      </c>
      <c r="F30" s="613" t="s">
        <v>472</v>
      </c>
      <c r="G30" s="581"/>
      <c r="H30" s="853" t="s">
        <v>493</v>
      </c>
      <c r="I30" s="871"/>
      <c r="J30" s="614">
        <f>ROUND('Z26'!I82,3)</f>
        <v>0</v>
      </c>
      <c r="K30" s="615" t="s">
        <v>255</v>
      </c>
      <c r="L30" s="606"/>
    </row>
    <row r="31" spans="2:18" ht="17.100000000000001" customHeight="1" x14ac:dyDescent="0.25">
      <c r="B31" s="866" t="s">
        <v>467</v>
      </c>
      <c r="C31" s="866"/>
      <c r="D31" s="886">
        <f>ROUND(D50,3)</f>
        <v>0</v>
      </c>
      <c r="E31" s="888">
        <f>ROUND((D31*0.436),3)</f>
        <v>0</v>
      </c>
      <c r="F31" s="888">
        <f>ROUND(F50,3)</f>
        <v>0</v>
      </c>
      <c r="G31" s="223"/>
      <c r="H31" s="872" t="s">
        <v>494</v>
      </c>
      <c r="I31" s="873"/>
      <c r="J31" s="607">
        <f>J29-J30</f>
        <v>0</v>
      </c>
      <c r="K31" s="608" t="s">
        <v>255</v>
      </c>
      <c r="L31" s="606"/>
    </row>
    <row r="32" spans="2:18" ht="17.100000000000001" customHeight="1" x14ac:dyDescent="0.25">
      <c r="B32" s="867"/>
      <c r="C32" s="867"/>
      <c r="D32" s="887"/>
      <c r="E32" s="889"/>
      <c r="F32" s="889"/>
      <c r="G32" s="617"/>
      <c r="H32" s="875" t="s">
        <v>552</v>
      </c>
      <c r="I32" s="876"/>
      <c r="J32" s="618">
        <f>I7</f>
        <v>0</v>
      </c>
      <c r="K32" s="619" t="s">
        <v>143</v>
      </c>
      <c r="L32" s="606"/>
    </row>
    <row r="33" spans="2:13" ht="17.100000000000001" customHeight="1" x14ac:dyDescent="0.25">
      <c r="B33" s="853" t="s">
        <v>490</v>
      </c>
      <c r="C33" s="853"/>
      <c r="D33" s="616">
        <f>ROUND(D51,3)</f>
        <v>0</v>
      </c>
      <c r="E33" s="616">
        <f>ROUND((D33*0.436),3)</f>
        <v>0</v>
      </c>
      <c r="F33" s="620" t="s">
        <v>276</v>
      </c>
      <c r="G33" s="617"/>
      <c r="H33" s="896" t="s">
        <v>561</v>
      </c>
      <c r="I33" s="897"/>
      <c r="J33" s="621" t="str">
        <f>IF(I7=0,"",ROUND(J31/J32*1000,2))</f>
        <v/>
      </c>
      <c r="K33" s="622" t="s">
        <v>2</v>
      </c>
      <c r="L33" s="606"/>
    </row>
    <row r="34" spans="2:13" ht="17.100000000000001" customHeight="1" x14ac:dyDescent="0.25">
      <c r="B34" s="853" t="s">
        <v>256</v>
      </c>
      <c r="C34" s="853"/>
      <c r="D34" s="853"/>
      <c r="E34" s="853"/>
      <c r="F34" s="616">
        <f>ROUND(('P26'!AQ80/1000),3)</f>
        <v>0</v>
      </c>
      <c r="G34" s="623"/>
      <c r="H34" s="898" t="s">
        <v>497</v>
      </c>
      <c r="I34" s="898"/>
      <c r="J34" s="914" t="str">
        <f>IF(I7=0,"",IF(J33&gt;60,"nesplněno","splněno"))</f>
        <v/>
      </c>
      <c r="K34" s="914"/>
      <c r="L34" s="624">
        <f>IF(J34="splněno",1,0)</f>
        <v>0</v>
      </c>
    </row>
    <row r="35" spans="2:13" ht="17.100000000000001" customHeight="1" x14ac:dyDescent="0.25">
      <c r="B35" s="852" t="s">
        <v>489</v>
      </c>
      <c r="C35" s="852"/>
      <c r="D35" s="852"/>
      <c r="E35" s="852"/>
      <c r="F35" s="625">
        <f>F31+F34</f>
        <v>0</v>
      </c>
      <c r="G35" s="623"/>
      <c r="H35" s="922" t="s">
        <v>498</v>
      </c>
      <c r="I35" s="922"/>
      <c r="J35" s="915" t="str">
        <f>IF(I7=0,"",IF(L25+L34=2,"plná dotace",IF(L25+L34=1.5,"50% dotace","bez dotace")))</f>
        <v/>
      </c>
      <c r="K35" s="915"/>
      <c r="L35" s="627"/>
      <c r="M35" s="5"/>
    </row>
    <row r="36" spans="2:13" ht="17.100000000000001" customHeight="1" x14ac:dyDescent="0.25">
      <c r="B36" s="180"/>
      <c r="C36" s="180"/>
      <c r="D36" s="180"/>
      <c r="E36" s="180"/>
      <c r="F36" s="628"/>
      <c r="G36" s="623"/>
      <c r="H36" s="921" t="s">
        <v>548</v>
      </c>
      <c r="I36" s="921"/>
      <c r="J36" s="921"/>
      <c r="K36" s="921"/>
      <c r="L36" s="921"/>
      <c r="M36" s="5"/>
    </row>
    <row r="37" spans="2:13" ht="17.100000000000001" customHeight="1" x14ac:dyDescent="0.25">
      <c r="B37" s="180"/>
      <c r="C37" s="180"/>
      <c r="D37" s="180"/>
      <c r="E37" s="180"/>
      <c r="F37" s="628"/>
      <c r="G37" s="623"/>
      <c r="H37" s="921"/>
      <c r="I37" s="921"/>
      <c r="J37" s="921"/>
      <c r="K37" s="921"/>
      <c r="L37" s="921"/>
      <c r="M37" s="5"/>
    </row>
    <row r="38" spans="2:13" ht="17.100000000000001" customHeight="1" x14ac:dyDescent="0.25">
      <c r="B38" s="180"/>
      <c r="C38" s="180"/>
      <c r="D38" s="180"/>
      <c r="E38" s="180"/>
      <c r="F38" s="628"/>
      <c r="G38" s="623"/>
      <c r="H38" s="921"/>
      <c r="I38" s="921"/>
      <c r="J38" s="921"/>
      <c r="K38" s="921"/>
      <c r="L38" s="921"/>
      <c r="M38" s="5"/>
    </row>
    <row r="39" spans="2:13" ht="17.100000000000001" customHeight="1" x14ac:dyDescent="0.25">
      <c r="B39" s="180"/>
      <c r="C39" s="180"/>
      <c r="D39" s="180"/>
      <c r="E39" s="180"/>
      <c r="F39" s="628"/>
      <c r="G39" s="623"/>
      <c r="H39" s="921"/>
      <c r="I39" s="921"/>
      <c r="J39" s="921"/>
      <c r="K39" s="921"/>
      <c r="L39" s="921"/>
      <c r="M39" s="5"/>
    </row>
    <row r="40" spans="2:13" ht="17.100000000000001" customHeight="1" x14ac:dyDescent="0.25">
      <c r="B40" s="180"/>
      <c r="C40" s="180"/>
      <c r="D40" s="180"/>
      <c r="E40" s="180"/>
      <c r="F40" s="628"/>
      <c r="G40" s="623"/>
      <c r="H40" s="921"/>
      <c r="I40" s="921"/>
      <c r="J40" s="921"/>
      <c r="K40" s="921"/>
      <c r="L40" s="921"/>
      <c r="M40" s="5"/>
    </row>
    <row r="41" spans="2:13" ht="17.100000000000001" customHeight="1" x14ac:dyDescent="0.25">
      <c r="B41" s="180"/>
      <c r="C41" s="180"/>
      <c r="D41" s="180"/>
      <c r="E41" s="180"/>
      <c r="F41" s="628"/>
      <c r="G41" s="623"/>
      <c r="H41" s="921"/>
      <c r="I41" s="921"/>
      <c r="J41" s="921"/>
      <c r="K41" s="921"/>
      <c r="L41" s="921"/>
      <c r="M41" s="5"/>
    </row>
    <row r="42" spans="2:13" ht="17.100000000000001" customHeight="1" x14ac:dyDescent="0.25">
      <c r="B42" s="180"/>
      <c r="C42" s="180"/>
      <c r="D42" s="180"/>
      <c r="E42" s="180"/>
      <c r="F42" s="628"/>
      <c r="G42" s="623"/>
      <c r="H42" s="921"/>
      <c r="I42" s="921"/>
      <c r="J42" s="921"/>
      <c r="K42" s="921"/>
      <c r="L42" s="921"/>
      <c r="M42" s="5"/>
    </row>
    <row r="43" spans="2:13" ht="17.100000000000001" customHeight="1" x14ac:dyDescent="0.25">
      <c r="B43" s="180"/>
      <c r="C43" s="180"/>
      <c r="D43" s="180"/>
      <c r="E43" s="180"/>
      <c r="F43" s="628"/>
      <c r="G43" s="623"/>
      <c r="H43" s="626"/>
      <c r="I43" s="626"/>
      <c r="J43" s="573"/>
      <c r="K43" s="573"/>
      <c r="L43" s="575"/>
      <c r="M43" s="5"/>
    </row>
    <row r="44" spans="2:13" ht="17.100000000000001" customHeight="1" x14ac:dyDescent="0.25">
      <c r="G44" s="223"/>
    </row>
    <row r="45" spans="2:13" ht="15" customHeight="1" x14ac:dyDescent="0.25">
      <c r="B45" s="899" t="s">
        <v>75</v>
      </c>
      <c r="C45" s="899"/>
      <c r="D45" s="629">
        <f>IF('M24-26ev'!E7=0,'M24-26'!N75,'M24-26ev'!E7)</f>
        <v>0</v>
      </c>
      <c r="E45" s="630"/>
      <c r="F45" s="630">
        <f>IF('M24-26ev'!E6=0,'M24-26'!M75,'M24-26ev'!E6)</f>
        <v>0</v>
      </c>
      <c r="G45" s="631"/>
      <c r="M45" s="5"/>
    </row>
    <row r="46" spans="2:13" ht="15" customHeight="1" x14ac:dyDescent="0.25">
      <c r="B46" s="899" t="s">
        <v>547</v>
      </c>
      <c r="C46" s="899"/>
      <c r="D46" s="629">
        <f>'O24-26'!T72</f>
        <v>0</v>
      </c>
      <c r="E46" s="630"/>
      <c r="F46" s="630">
        <f>'O24-26'!S72</f>
        <v>0</v>
      </c>
      <c r="G46" s="5"/>
      <c r="M46" s="5"/>
    </row>
    <row r="47" spans="2:13" ht="15" customHeight="1" x14ac:dyDescent="0.25">
      <c r="B47" s="899" t="s">
        <v>214</v>
      </c>
      <c r="C47" s="899"/>
      <c r="D47" s="629">
        <f>'O24-26'!T73</f>
        <v>0</v>
      </c>
      <c r="E47" s="630"/>
      <c r="F47" s="630">
        <f>'O24-26'!S73</f>
        <v>0</v>
      </c>
      <c r="G47" s="5"/>
      <c r="M47" s="5"/>
    </row>
    <row r="48" spans="2:13" ht="15" customHeight="1" x14ac:dyDescent="0.25">
      <c r="B48" s="899" t="s">
        <v>215</v>
      </c>
      <c r="C48" s="899"/>
      <c r="D48" s="629">
        <f>'O24-26'!T74</f>
        <v>0</v>
      </c>
      <c r="E48" s="630"/>
      <c r="F48" s="630">
        <f>'O24-26'!S74</f>
        <v>0</v>
      </c>
      <c r="G48" s="5"/>
      <c r="M48" s="5"/>
    </row>
    <row r="49" spans="2:15" ht="15" customHeight="1" x14ac:dyDescent="0.25">
      <c r="B49" s="899" t="s">
        <v>216</v>
      </c>
      <c r="C49" s="899"/>
      <c r="D49" s="629">
        <f>'O24-26'!T75</f>
        <v>0</v>
      </c>
      <c r="E49" s="630"/>
      <c r="F49" s="630">
        <f>'O24-26'!S75</f>
        <v>0</v>
      </c>
      <c r="G49" s="632"/>
      <c r="M49" s="5"/>
    </row>
    <row r="50" spans="2:15" ht="15" customHeight="1" x14ac:dyDescent="0.25">
      <c r="B50" s="900" t="s">
        <v>175</v>
      </c>
      <c r="C50" s="900"/>
      <c r="D50" s="633">
        <f>SUM(D45:D49)</f>
        <v>0</v>
      </c>
      <c r="E50" s="634"/>
      <c r="F50" s="634">
        <f t="shared" ref="F50" si="0">SUM(F45:F49)</f>
        <v>0</v>
      </c>
      <c r="G50" s="5"/>
      <c r="M50" s="5"/>
    </row>
    <row r="51" spans="2:15" ht="15" customHeight="1" x14ac:dyDescent="0.25">
      <c r="B51" s="900" t="s">
        <v>465</v>
      </c>
      <c r="C51" s="900"/>
      <c r="D51" s="633">
        <f>D50-D45</f>
        <v>0</v>
      </c>
      <c r="E51" s="634"/>
      <c r="F51" s="634" t="s">
        <v>276</v>
      </c>
      <c r="G51" s="5"/>
      <c r="M51" s="5"/>
      <c r="N51" s="5"/>
      <c r="O51" s="5"/>
    </row>
    <row r="52" spans="2:15" ht="17.100000000000001" customHeight="1" x14ac:dyDescent="0.25">
      <c r="G52" s="5"/>
      <c r="H52" s="635"/>
      <c r="I52" s="635"/>
      <c r="J52" s="172"/>
      <c r="K52" s="636"/>
      <c r="L52" s="5"/>
      <c r="M52" s="5"/>
      <c r="N52" s="5"/>
      <c r="O52" s="5"/>
    </row>
    <row r="53" spans="2:15" ht="17.100000000000001" customHeight="1" x14ac:dyDescent="0.25">
      <c r="G53" s="5"/>
      <c r="H53" s="635"/>
      <c r="I53" s="635"/>
      <c r="J53" s="172"/>
      <c r="K53" s="636"/>
      <c r="L53" s="5"/>
      <c r="M53" s="5"/>
      <c r="N53" s="5"/>
      <c r="O53" s="5"/>
    </row>
    <row r="54" spans="2:15" ht="17.100000000000001" customHeight="1" x14ac:dyDescent="0.25">
      <c r="G54" s="5"/>
      <c r="H54" s="635"/>
      <c r="I54" s="635"/>
      <c r="J54" s="172"/>
      <c r="K54" s="636"/>
      <c r="L54" s="5"/>
    </row>
    <row r="55" spans="2:15" ht="17.100000000000001" customHeight="1" x14ac:dyDescent="0.25">
      <c r="G55" s="5"/>
      <c r="H55" s="635"/>
      <c r="I55" s="635"/>
      <c r="J55" s="172"/>
      <c r="K55" s="636"/>
      <c r="L55" s="5"/>
    </row>
    <row r="56" spans="2:15" ht="17.100000000000001" customHeight="1" x14ac:dyDescent="0.25">
      <c r="G56" s="5"/>
      <c r="H56" s="172"/>
      <c r="I56" s="172"/>
      <c r="J56" s="172"/>
      <c r="K56" s="636"/>
      <c r="L56" s="5"/>
    </row>
    <row r="57" spans="2:15" ht="17.100000000000001" customHeight="1" x14ac:dyDescent="0.25">
      <c r="G57" s="5"/>
      <c r="H57" s="5"/>
      <c r="I57" s="5"/>
      <c r="J57" s="5"/>
      <c r="K57" s="574"/>
      <c r="L57" s="5"/>
    </row>
    <row r="58" spans="2:15" ht="17.100000000000001" customHeight="1" x14ac:dyDescent="0.25">
      <c r="G58" s="5"/>
      <c r="H58" s="5"/>
      <c r="I58" s="5"/>
      <c r="J58" s="5"/>
      <c r="K58" s="574"/>
      <c r="L58" s="5"/>
    </row>
    <row r="59" spans="2:15" x14ac:dyDescent="0.25">
      <c r="B59" s="5"/>
      <c r="C59" s="5"/>
      <c r="D59" s="5"/>
      <c r="E59" s="5"/>
      <c r="F59" s="5"/>
      <c r="G59" s="5"/>
      <c r="H59" s="5"/>
      <c r="I59" s="5"/>
      <c r="J59" s="5"/>
      <c r="K59" s="574"/>
      <c r="L59" s="5"/>
    </row>
    <row r="60" spans="2:15" ht="15.75" customHeight="1" x14ac:dyDescent="0.25">
      <c r="B60" s="722"/>
      <c r="C60" s="722"/>
      <c r="D60" s="722"/>
      <c r="E60" s="722"/>
      <c r="F60" s="722"/>
      <c r="G60" s="722"/>
      <c r="H60" s="722"/>
      <c r="I60" s="722"/>
      <c r="J60" s="722"/>
      <c r="K60" s="722"/>
      <c r="L60" s="722"/>
    </row>
    <row r="80" spans="7:9" ht="13.5" customHeight="1" x14ac:dyDescent="0.25">
      <c r="G80" s="102"/>
      <c r="H80" s="309"/>
      <c r="I80" s="310" t="s">
        <v>453</v>
      </c>
    </row>
  </sheetData>
  <sheetProtection algorithmName="SHA-512" hashValue="TP+lHw3sM3ZutjbdIhCMGweqm7zQumJb4AJajCSqy689Kx5vltdyiHkMHdmyUdCV2s7Z79PplqG+wgLMxkmyTA==" saltValue="C9qTEw7thzah+1KEMxFWGg==" spinCount="100000" sheet="1" formatCells="0" formatColumns="0" formatRows="0"/>
  <mergeCells count="101">
    <mergeCell ref="B1:K1"/>
    <mergeCell ref="B2:K2"/>
    <mergeCell ref="B3:J3"/>
    <mergeCell ref="B4:F4"/>
    <mergeCell ref="H4:J4"/>
    <mergeCell ref="C5:F5"/>
    <mergeCell ref="H5:H6"/>
    <mergeCell ref="I5:I6"/>
    <mergeCell ref="J5:K6"/>
    <mergeCell ref="E6:F6"/>
    <mergeCell ref="C7:F7"/>
    <mergeCell ref="H7:H8"/>
    <mergeCell ref="I7:I8"/>
    <mergeCell ref="J7:K8"/>
    <mergeCell ref="B8:F8"/>
    <mergeCell ref="B9:C9"/>
    <mergeCell ref="D9:F9"/>
    <mergeCell ref="H9:H10"/>
    <mergeCell ref="I9:I10"/>
    <mergeCell ref="J9:K10"/>
    <mergeCell ref="H12:K12"/>
    <mergeCell ref="B13:F13"/>
    <mergeCell ref="H13:I13"/>
    <mergeCell ref="B14:C14"/>
    <mergeCell ref="D14:F14"/>
    <mergeCell ref="H14:I14"/>
    <mergeCell ref="B10:C10"/>
    <mergeCell ref="D10:F10"/>
    <mergeCell ref="B11:C11"/>
    <mergeCell ref="D11:F11"/>
    <mergeCell ref="B12:C12"/>
    <mergeCell ref="D12:F12"/>
    <mergeCell ref="B17:C17"/>
    <mergeCell ref="D17:F17"/>
    <mergeCell ref="H17:I17"/>
    <mergeCell ref="M17:N17"/>
    <mergeCell ref="O17:P17"/>
    <mergeCell ref="B18:F18"/>
    <mergeCell ref="H18:I18"/>
    <mergeCell ref="B15:C15"/>
    <mergeCell ref="D15:F15"/>
    <mergeCell ref="H15:I15"/>
    <mergeCell ref="B16:C16"/>
    <mergeCell ref="D16:F16"/>
    <mergeCell ref="H16:I16"/>
    <mergeCell ref="J22:J23"/>
    <mergeCell ref="K22:K23"/>
    <mergeCell ref="B23:C23"/>
    <mergeCell ref="D23:E23"/>
    <mergeCell ref="B19:C21"/>
    <mergeCell ref="D19:E21"/>
    <mergeCell ref="F19:F21"/>
    <mergeCell ref="H19:I19"/>
    <mergeCell ref="H20:I20"/>
    <mergeCell ref="H21:I21"/>
    <mergeCell ref="B24:C24"/>
    <mergeCell ref="D24:E24"/>
    <mergeCell ref="H24:I24"/>
    <mergeCell ref="B25:C25"/>
    <mergeCell ref="D25:E25"/>
    <mergeCell ref="H25:I25"/>
    <mergeCell ref="B22:C22"/>
    <mergeCell ref="D22:E22"/>
    <mergeCell ref="H22:I23"/>
    <mergeCell ref="B28:C28"/>
    <mergeCell ref="D28:E28"/>
    <mergeCell ref="H28:I28"/>
    <mergeCell ref="B29:F29"/>
    <mergeCell ref="H29:I29"/>
    <mergeCell ref="B30:C30"/>
    <mergeCell ref="H30:I30"/>
    <mergeCell ref="J25:K25"/>
    <mergeCell ref="B26:C26"/>
    <mergeCell ref="D26:E26"/>
    <mergeCell ref="H26:I26"/>
    <mergeCell ref="B27:C27"/>
    <mergeCell ref="D27:E27"/>
    <mergeCell ref="H27:I27"/>
    <mergeCell ref="B33:C33"/>
    <mergeCell ref="H33:I33"/>
    <mergeCell ref="B34:E34"/>
    <mergeCell ref="H34:I34"/>
    <mergeCell ref="J34:K34"/>
    <mergeCell ref="B35:E35"/>
    <mergeCell ref="H35:I35"/>
    <mergeCell ref="J35:K35"/>
    <mergeCell ref="B31:C32"/>
    <mergeCell ref="D31:D32"/>
    <mergeCell ref="E31:E32"/>
    <mergeCell ref="F31:F32"/>
    <mergeCell ref="H31:I31"/>
    <mergeCell ref="H32:I32"/>
    <mergeCell ref="B50:C50"/>
    <mergeCell ref="B51:C51"/>
    <mergeCell ref="B60:L60"/>
    <mergeCell ref="H36:L42"/>
    <mergeCell ref="B45:C45"/>
    <mergeCell ref="B46:C46"/>
    <mergeCell ref="B47:C47"/>
    <mergeCell ref="B48:C48"/>
    <mergeCell ref="B49:C49"/>
  </mergeCells>
  <conditionalFormatting sqref="F28">
    <cfRule type="cellIs" dxfId="98" priority="13" operator="lessThan">
      <formula>0.3</formula>
    </cfRule>
  </conditionalFormatting>
  <conditionalFormatting sqref="J25 L25">
    <cfRule type="beginsWith" dxfId="97" priority="8" operator="beginsWith" text="splněno">
      <formula>LEFT(J25,LEN("splněno"))="splněno"</formula>
    </cfRule>
    <cfRule type="beginsWith" dxfId="96" priority="9" operator="beginsWith" text="částečně">
      <formula>LEFT(J25,LEN("částečně"))="částečně"</formula>
    </cfRule>
    <cfRule type="containsText" dxfId="95" priority="10" operator="containsText" text="nesplněno">
      <formula>NOT(ISERROR(SEARCH("nesplněno",J25)))</formula>
    </cfRule>
  </conditionalFormatting>
  <conditionalFormatting sqref="J34">
    <cfRule type="containsText" dxfId="94" priority="5" operator="containsText" text="nesplněno">
      <formula>NOT(ISERROR(SEARCH("nesplněno",J34)))</formula>
    </cfRule>
  </conditionalFormatting>
  <conditionalFormatting sqref="J34:J43">
    <cfRule type="beginsWith" dxfId="93" priority="4" operator="beginsWith" text="splněno">
      <formula>LEFT(J34,LEN("splněno"))="splněno"</formula>
    </cfRule>
  </conditionalFormatting>
  <conditionalFormatting sqref="J35:J43">
    <cfRule type="beginsWith" dxfId="92" priority="6" operator="beginsWith" text="částečně">
      <formula>LEFT(J35,LEN("částečně"))="částečně"</formula>
    </cfRule>
    <cfRule type="containsText" dxfId="91" priority="7" operator="containsText" text="nesplněno">
      <formula>NOT(ISERROR(SEARCH("nesplněno",J35)))</formula>
    </cfRule>
  </conditionalFormatting>
  <conditionalFormatting sqref="J35:K43">
    <cfRule type="containsText" dxfId="90" priority="1" operator="containsText" text="50% dotace">
      <formula>NOT(ISERROR(SEARCH("50% dotace",J35)))</formula>
    </cfRule>
    <cfRule type="containsText" dxfId="89" priority="2" operator="containsText" text="plná dotace">
      <formula>NOT(ISERROR(SEARCH("plná dotace",J35)))</formula>
    </cfRule>
    <cfRule type="containsText" dxfId="88" priority="3" operator="containsText" text="bez dotace">
      <formula>NOT(ISERROR(SEARCH("bez dotace",J35)))</formula>
    </cfRule>
  </conditionalFormatting>
  <conditionalFormatting sqref="O17 L20 L22 L24">
    <cfRule type="containsText" dxfId="87" priority="11" operator="containsText" text="ano">
      <formula>NOT(ISERROR(SEARCH("ano",L17)))</formula>
    </cfRule>
    <cfRule type="containsText" dxfId="86" priority="12" operator="containsText" text="ne">
      <formula>NOT(ISERROR(SEARCH("ne",L17)))</formula>
    </cfRule>
  </conditionalFormatting>
  <pageMargins left="0.31496062992125984" right="0.31496062992125984" top="0.59055118110236227" bottom="0.59055118110236227" header="0.31496062992125984" footer="0.31496062992125984"/>
  <pageSetup paperSize="9" scale="80" orientation="landscape" horizontalDpi="4294967293" r:id="rId1"/>
  <ignoredErrors>
    <ignoredError sqref="E31" formula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8790AD-209E-4EC6-B883-112BAA8DE521}">
  <sheetPr>
    <tabColor theme="6" tint="0.39997558519241921"/>
    <pageSetUpPr fitToPage="1"/>
  </sheetPr>
  <dimension ref="B1:AE64"/>
  <sheetViews>
    <sheetView showGridLines="0" showZeros="0" zoomScale="90" zoomScaleNormal="9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C9" sqref="C9"/>
    </sheetView>
  </sheetViews>
  <sheetFormatPr defaultRowHeight="15" x14ac:dyDescent="0.25"/>
  <cols>
    <col min="1" max="1" width="0.5703125" customWidth="1"/>
    <col min="2" max="2" width="59.42578125" customWidth="1"/>
    <col min="3" max="3" width="13" customWidth="1"/>
    <col min="4" max="4" width="82.28515625" customWidth="1"/>
    <col min="5" max="5" width="3.7109375" customWidth="1"/>
    <col min="6" max="6" width="32.28515625" customWidth="1"/>
    <col min="7" max="7" width="40.140625" customWidth="1"/>
    <col min="8" max="9" width="7.85546875" customWidth="1"/>
    <col min="10" max="10" width="15.85546875" customWidth="1"/>
    <col min="11" max="11" width="76" customWidth="1"/>
    <col min="12" max="12" width="53.42578125" customWidth="1"/>
    <col min="13" max="13" width="15.42578125" customWidth="1"/>
    <col min="14" max="14" width="25.5703125" customWidth="1"/>
    <col min="15" max="15" width="21.140625" customWidth="1"/>
    <col min="16" max="16" width="24.5703125" customWidth="1"/>
    <col min="17" max="17" width="20.5703125" customWidth="1"/>
    <col min="18" max="18" width="26.5703125" customWidth="1"/>
    <col min="19" max="19" width="9.5703125" customWidth="1"/>
    <col min="20" max="20" width="16.5703125" customWidth="1"/>
    <col min="21" max="21" width="22.5703125" customWidth="1"/>
    <col min="22" max="22" width="17.5703125" customWidth="1"/>
    <col min="24" max="24" width="9" customWidth="1"/>
    <col min="25" max="25" width="9.140625" customWidth="1"/>
    <col min="26" max="26" width="12.42578125" bestFit="1" customWidth="1"/>
    <col min="27" max="27" width="20.140625" customWidth="1"/>
  </cols>
  <sheetData>
    <row r="1" spans="2:22" ht="20.100000000000001" customHeight="1" x14ac:dyDescent="0.3">
      <c r="B1" s="952" t="s">
        <v>441</v>
      </c>
      <c r="C1" s="952"/>
      <c r="D1" s="952"/>
      <c r="E1" s="403"/>
      <c r="F1" s="404" t="s">
        <v>469</v>
      </c>
      <c r="G1" s="405">
        <f>'P24'!E2</f>
        <v>0</v>
      </c>
      <c r="I1" s="406" t="s">
        <v>461</v>
      </c>
      <c r="J1" s="407"/>
      <c r="M1" s="408"/>
      <c r="N1" s="953" t="s">
        <v>347</v>
      </c>
      <c r="O1" s="953"/>
      <c r="P1" s="409">
        <f>IF(C8=0,0,P9)</f>
        <v>0</v>
      </c>
      <c r="Q1" s="410" t="str">
        <f>N2</f>
        <v>Plnění:</v>
      </c>
      <c r="R1" s="410" t="str">
        <f>N1</f>
        <v>Potřeba:</v>
      </c>
      <c r="S1" s="4"/>
    </row>
    <row r="2" spans="2:22" ht="17.25" customHeight="1" x14ac:dyDescent="0.25">
      <c r="B2" s="411" t="s">
        <v>73</v>
      </c>
      <c r="C2" s="954">
        <f>'P24'!G2</f>
        <v>0</v>
      </c>
      <c r="D2" s="955"/>
      <c r="E2" s="223"/>
      <c r="F2" s="404" t="s">
        <v>346</v>
      </c>
      <c r="G2" s="405">
        <f>'P24'!E4</f>
        <v>0</v>
      </c>
      <c r="I2" s="412"/>
      <c r="J2" s="412"/>
      <c r="K2" s="413"/>
      <c r="L2" s="412"/>
      <c r="N2" s="956" t="s">
        <v>348</v>
      </c>
      <c r="O2" s="956"/>
      <c r="P2" s="414">
        <f>IF(C8=0,0,P58)</f>
        <v>0</v>
      </c>
      <c r="Q2" s="415">
        <f>P2</f>
        <v>0</v>
      </c>
      <c r="R2" s="415">
        <f>P1</f>
        <v>0</v>
      </c>
      <c r="S2" s="4"/>
    </row>
    <row r="3" spans="2:22" ht="14.25" customHeight="1" x14ac:dyDescent="0.25">
      <c r="B3" s="416"/>
      <c r="C3" s="416"/>
      <c r="F3" s="417" t="s">
        <v>325</v>
      </c>
      <c r="G3" s="418"/>
      <c r="H3" s="419"/>
      <c r="I3" s="419"/>
      <c r="J3" s="419"/>
      <c r="K3" s="419"/>
      <c r="L3" s="419"/>
      <c r="N3" s="312"/>
      <c r="O3" s="312"/>
      <c r="P3" s="420"/>
    </row>
    <row r="4" spans="2:22" ht="15.75" customHeight="1" x14ac:dyDescent="0.25">
      <c r="B4" s="411" t="s">
        <v>349</v>
      </c>
      <c r="C4" s="421" t="str">
        <f>IF(C8=0,"",IF(P4&lt;0,"nesplněna","splněna"))</f>
        <v/>
      </c>
      <c r="D4" s="419"/>
      <c r="E4" s="419"/>
      <c r="F4" s="422" t="str">
        <f>IF(G4&gt;0,"Rozsah provedených opatření (ha)","")</f>
        <v/>
      </c>
      <c r="G4" s="423">
        <f>P2*C8</f>
        <v>0</v>
      </c>
      <c r="I4" s="424"/>
      <c r="J4" s="424"/>
      <c r="K4" s="424"/>
      <c r="N4" s="957" t="s">
        <v>350</v>
      </c>
      <c r="O4" s="957"/>
      <c r="P4" s="425">
        <f>IF(C8=0,0,(P2-P1))</f>
        <v>0</v>
      </c>
      <c r="R4" s="949" t="s">
        <v>351</v>
      </c>
    </row>
    <row r="5" spans="2:22" ht="15.95" customHeight="1" x14ac:dyDescent="0.25">
      <c r="B5" s="411" t="s">
        <v>352</v>
      </c>
      <c r="C5" s="421" t="str">
        <f>IF(C8=0,"",IF(R59&lt;0,"záporná",IF(R59&lt;0.5,"vyrovnaná","zlepšující")))</f>
        <v/>
      </c>
      <c r="D5" s="427"/>
      <c r="E5" s="427"/>
      <c r="F5" s="422" t="str">
        <f>IF(G5=0,"","Rozsah potřebných opatření (ha)")</f>
        <v/>
      </c>
      <c r="G5" s="423">
        <f>IF(P1&gt;0,P1*C8,0)</f>
        <v>0</v>
      </c>
      <c r="I5" s="424"/>
      <c r="J5" s="424"/>
      <c r="K5" s="424"/>
      <c r="L5" s="424"/>
      <c r="M5" s="5"/>
      <c r="N5" s="5"/>
      <c r="O5" s="5"/>
      <c r="P5" s="428"/>
      <c r="Q5" s="428"/>
      <c r="R5" s="949"/>
    </row>
    <row r="6" spans="2:22" ht="15.75" customHeight="1" x14ac:dyDescent="0.25">
      <c r="B6" s="958" t="s">
        <v>562</v>
      </c>
      <c r="C6" s="958"/>
      <c r="D6" s="429"/>
      <c r="E6" s="429"/>
      <c r="F6" s="422" t="s">
        <v>575</v>
      </c>
      <c r="G6" s="423">
        <f>G4-G5</f>
        <v>0</v>
      </c>
      <c r="H6" s="429"/>
      <c r="I6" s="429"/>
      <c r="J6" s="429"/>
      <c r="K6" s="429"/>
      <c r="L6" s="429"/>
      <c r="M6" s="412"/>
      <c r="N6" s="412"/>
      <c r="O6" s="419"/>
      <c r="P6" s="428"/>
      <c r="Q6" s="428"/>
      <c r="R6" s="949"/>
      <c r="S6" s="430"/>
      <c r="T6" s="429"/>
      <c r="U6" s="419"/>
    </row>
    <row r="7" spans="2:22" ht="13.5" customHeight="1" x14ac:dyDescent="0.25">
      <c r="B7" s="431" t="s">
        <v>353</v>
      </c>
      <c r="C7" s="432" t="s">
        <v>280</v>
      </c>
      <c r="D7" s="433"/>
      <c r="E7" s="433"/>
      <c r="F7" s="434" t="str">
        <f>IF(G7="","",IF(G5=0,"",IF(G4=0,"","plnění")))</f>
        <v/>
      </c>
      <c r="G7" s="435" t="str">
        <f>IF(C8=0,"",IF(G5=0,"",IF(G4/G5&gt;1,"",IF(G4=0,0,G4/G5))))</f>
        <v/>
      </c>
      <c r="I7" s="433"/>
      <c r="J7" s="433"/>
      <c r="K7" s="433"/>
      <c r="L7" s="433"/>
      <c r="M7" s="436"/>
      <c r="N7" s="436"/>
      <c r="P7" s="950" t="s">
        <v>354</v>
      </c>
      <c r="Q7" s="951"/>
      <c r="R7" s="949"/>
      <c r="S7" s="437"/>
    </row>
    <row r="8" spans="2:22" ht="12.95" customHeight="1" thickBot="1" x14ac:dyDescent="0.3">
      <c r="B8" s="438" t="s">
        <v>355</v>
      </c>
      <c r="C8" s="439">
        <f>'P25'!D3</f>
        <v>0</v>
      </c>
      <c r="D8" s="440" t="s">
        <v>356</v>
      </c>
      <c r="E8" s="441"/>
      <c r="F8" s="126" t="str">
        <f>IF(G8=0,"","neplnění")</f>
        <v/>
      </c>
      <c r="G8" s="442">
        <f>IF(C8=0,0,IF(P4&lt;0,IF(G7&lt;100%,IF(G5&lt;0,0,1-G7),0),0))</f>
        <v>0</v>
      </c>
      <c r="I8" s="443"/>
      <c r="J8" s="443"/>
      <c r="K8" s="443"/>
      <c r="L8" s="443"/>
      <c r="M8" s="967" t="s">
        <v>357</v>
      </c>
      <c r="N8" s="967"/>
      <c r="O8" s="967"/>
      <c r="P8" s="445" t="str">
        <f>IF(C8=0,"",(35%*C10+30%*(C9+C11))/C8)</f>
        <v/>
      </c>
      <c r="Q8" s="446" t="str">
        <f>IF(C8=0,"",C8*P8)</f>
        <v/>
      </c>
      <c r="R8" s="447" t="str">
        <f>IF(C$8=0,"",((30*0.165)*Q8)/C$8)</f>
        <v/>
      </c>
      <c r="V8" s="99"/>
    </row>
    <row r="9" spans="2:22" ht="13.7" customHeight="1" thickBot="1" x14ac:dyDescent="0.3">
      <c r="B9" s="448" t="s">
        <v>358</v>
      </c>
      <c r="C9" s="222"/>
      <c r="D9" s="968" t="s">
        <v>359</v>
      </c>
      <c r="E9" s="450"/>
      <c r="F9" s="451"/>
      <c r="G9" s="452" t="str">
        <f>IF(C8=0,"",IF(P1&lt;0,"podmínka splněna",IF(G7=100%,"podmínka splněna",IF(G7&gt;100%,"podmínka splněna",IF(G8&gt;15%,IF(G8&gt;25%,IF(G8&gt;50%,"ekoplatba se neposkytne","snížení ekoplatby o 50 %"),"snížení ekoplatby o 10 %"),"snížení ekoplatby o 5 %")))))</f>
        <v/>
      </c>
      <c r="H9" s="453"/>
      <c r="I9" s="453"/>
      <c r="J9" s="453"/>
      <c r="K9" s="453"/>
      <c r="L9" s="453"/>
      <c r="M9" s="970" t="s">
        <v>360</v>
      </c>
      <c r="N9" s="970"/>
      <c r="O9" s="971"/>
      <c r="P9" s="454" t="str">
        <f>P20</f>
        <v/>
      </c>
      <c r="Q9" s="455" t="str">
        <f>Q20</f>
        <v/>
      </c>
      <c r="R9" s="456" t="str">
        <f>R20</f>
        <v/>
      </c>
      <c r="V9" s="457"/>
    </row>
    <row r="10" spans="2:22" ht="13.7" customHeight="1" thickBot="1" x14ac:dyDescent="0.3">
      <c r="B10" s="438" t="s">
        <v>455</v>
      </c>
      <c r="C10" s="458">
        <f>C8-C9-C11</f>
        <v>0</v>
      </c>
      <c r="D10" s="969"/>
      <c r="E10" s="450"/>
      <c r="F10" s="972" t="s">
        <v>361</v>
      </c>
      <c r="G10" s="972"/>
      <c r="H10" s="453"/>
      <c r="I10" s="453"/>
      <c r="J10" s="453"/>
      <c r="K10" s="453"/>
      <c r="L10" s="453"/>
      <c r="M10" s="459"/>
      <c r="N10" s="459"/>
      <c r="O10" s="459"/>
      <c r="P10" s="460"/>
      <c r="Q10" s="461"/>
      <c r="R10" s="462"/>
      <c r="V10" s="457"/>
    </row>
    <row r="11" spans="2:22" ht="13.7" customHeight="1" thickBot="1" x14ac:dyDescent="0.3">
      <c r="B11" s="448" t="s">
        <v>456</v>
      </c>
      <c r="C11" s="222"/>
      <c r="D11" s="968"/>
      <c r="E11" s="450"/>
      <c r="F11" s="972"/>
      <c r="G11" s="972"/>
      <c r="H11" s="453"/>
      <c r="I11" s="453"/>
      <c r="J11" s="453"/>
      <c r="K11" s="453"/>
      <c r="L11" s="453"/>
      <c r="M11" s="419"/>
      <c r="N11" s="463"/>
      <c r="O11" s="464"/>
      <c r="P11" s="465"/>
      <c r="Q11" s="466"/>
      <c r="R11" s="467"/>
      <c r="V11" s="457"/>
    </row>
    <row r="12" spans="2:22" ht="6" customHeight="1" x14ac:dyDescent="0.25">
      <c r="B12" s="468"/>
      <c r="C12" s="469"/>
      <c r="D12" s="470"/>
      <c r="E12" s="470"/>
      <c r="F12" s="972"/>
      <c r="G12" s="972"/>
      <c r="H12" s="471"/>
      <c r="I12" s="471"/>
      <c r="J12" s="471"/>
      <c r="K12" s="471"/>
      <c r="L12" s="471"/>
      <c r="M12" s="5"/>
      <c r="N12" s="5"/>
      <c r="O12" s="5"/>
      <c r="R12" s="472"/>
      <c r="S12" s="473"/>
      <c r="T12" s="99"/>
      <c r="U12" s="99"/>
      <c r="V12" s="99"/>
    </row>
    <row r="13" spans="2:22" ht="14.45" customHeight="1" thickBot="1" x14ac:dyDescent="0.3">
      <c r="B13" s="474" t="s">
        <v>600</v>
      </c>
      <c r="C13" s="475" t="s">
        <v>280</v>
      </c>
      <c r="D13" s="440" t="s">
        <v>362</v>
      </c>
      <c r="E13" s="441"/>
      <c r="F13" s="476" t="s">
        <v>363</v>
      </c>
      <c r="G13" s="476" t="s">
        <v>364</v>
      </c>
      <c r="H13" s="973"/>
      <c r="I13" s="973"/>
      <c r="J13" s="973"/>
      <c r="K13" s="477"/>
      <c r="L13" s="474" t="str">
        <f>B13</f>
        <v>Vybrané plodiny (JŽ, květen 2025) – z listu "P25"</v>
      </c>
      <c r="M13" s="109" t="s">
        <v>365</v>
      </c>
      <c r="N13" s="109" t="s">
        <v>366</v>
      </c>
      <c r="O13" s="974" t="s">
        <v>367</v>
      </c>
      <c r="P13" s="960" t="s">
        <v>368</v>
      </c>
      <c r="Q13" s="960"/>
      <c r="R13" s="426" t="s">
        <v>369</v>
      </c>
      <c r="V13" s="99"/>
    </row>
    <row r="14" spans="2:22" ht="14.45" customHeight="1" x14ac:dyDescent="0.25">
      <c r="B14" s="448" t="s">
        <v>421</v>
      </c>
      <c r="C14" s="220"/>
      <c r="D14" s="449"/>
      <c r="E14" s="450"/>
      <c r="F14" s="478" t="s">
        <v>370</v>
      </c>
      <c r="G14" s="479" t="s">
        <v>371</v>
      </c>
      <c r="H14" s="973"/>
      <c r="I14" s="973"/>
      <c r="J14" s="973"/>
      <c r="K14" s="477"/>
      <c r="L14" s="480" t="s">
        <v>372</v>
      </c>
      <c r="M14" s="481">
        <v>0.45</v>
      </c>
      <c r="N14" s="482">
        <f t="shared" ref="N14:N15" si="0">IF(C$8=0,0,C14/C$8)</f>
        <v>0</v>
      </c>
      <c r="O14" s="975"/>
      <c r="P14" s="483">
        <f t="shared" ref="P14:P19" si="1">IF($N14=0,0,$N14*M14)</f>
        <v>0</v>
      </c>
      <c r="Q14" s="484">
        <f t="shared" ref="Q14:Q19" si="2">C14*M14</f>
        <v>0</v>
      </c>
      <c r="R14" s="447" t="str">
        <f t="shared" ref="R14:R20" si="3">IF(C$8=0,"",((30*0.165)*Q14)/C$8)</f>
        <v/>
      </c>
      <c r="V14" s="99"/>
    </row>
    <row r="15" spans="2:22" ht="14.45" customHeight="1" thickBot="1" x14ac:dyDescent="0.3">
      <c r="B15" s="448" t="s">
        <v>420</v>
      </c>
      <c r="C15" s="221"/>
      <c r="D15" s="449"/>
      <c r="E15" s="450"/>
      <c r="F15" s="478" t="s">
        <v>374</v>
      </c>
      <c r="G15" s="479" t="s">
        <v>375</v>
      </c>
      <c r="H15" s="973"/>
      <c r="I15" s="973"/>
      <c r="J15" s="973"/>
      <c r="K15" s="477"/>
      <c r="L15" s="480" t="s">
        <v>373</v>
      </c>
      <c r="M15" s="481">
        <v>0.25</v>
      </c>
      <c r="N15" s="482">
        <f t="shared" si="0"/>
        <v>0</v>
      </c>
      <c r="O15" s="975"/>
      <c r="P15" s="483">
        <f t="shared" si="1"/>
        <v>0</v>
      </c>
      <c r="Q15" s="484">
        <f t="shared" si="2"/>
        <v>0</v>
      </c>
      <c r="R15" s="447" t="str">
        <f t="shared" si="3"/>
        <v/>
      </c>
      <c r="V15" s="99"/>
    </row>
    <row r="16" spans="2:22" ht="14.45" customHeight="1" x14ac:dyDescent="0.25">
      <c r="B16" s="438" t="s">
        <v>418</v>
      </c>
      <c r="C16" s="485">
        <f>'P25'!D88</f>
        <v>0</v>
      </c>
      <c r="D16" s="486"/>
      <c r="E16" s="450"/>
      <c r="F16" s="478" t="s">
        <v>377</v>
      </c>
      <c r="G16" s="479" t="s">
        <v>378</v>
      </c>
      <c r="H16" s="973"/>
      <c r="I16" s="973"/>
      <c r="J16" s="973"/>
      <c r="K16" s="477"/>
      <c r="L16" s="480" t="s">
        <v>372</v>
      </c>
      <c r="M16" s="481">
        <v>0.45</v>
      </c>
      <c r="N16" s="482">
        <f>IF(C$8=0,0,C16/C$8)</f>
        <v>0</v>
      </c>
      <c r="O16" s="975"/>
      <c r="P16" s="483">
        <f t="shared" si="1"/>
        <v>0</v>
      </c>
      <c r="Q16" s="484">
        <f t="shared" si="2"/>
        <v>0</v>
      </c>
      <c r="R16" s="447" t="str">
        <f t="shared" si="3"/>
        <v/>
      </c>
      <c r="V16" s="99"/>
    </row>
    <row r="17" spans="2:31" ht="14.45" customHeight="1" x14ac:dyDescent="0.25">
      <c r="B17" s="438" t="s">
        <v>419</v>
      </c>
      <c r="C17" s="485">
        <f>'P25'!D89</f>
        <v>0</v>
      </c>
      <c r="D17" s="486"/>
      <c r="E17" s="450"/>
      <c r="F17" s="487" t="s">
        <v>380</v>
      </c>
      <c r="G17" s="488" t="s">
        <v>381</v>
      </c>
      <c r="H17" s="973"/>
      <c r="I17" s="973"/>
      <c r="J17" s="973"/>
      <c r="K17" s="477"/>
      <c r="L17" s="480" t="s">
        <v>373</v>
      </c>
      <c r="M17" s="481">
        <v>0.25</v>
      </c>
      <c r="N17" s="482">
        <f>IF(C$8=0,0,C17/C$8)</f>
        <v>0</v>
      </c>
      <c r="O17" s="975"/>
      <c r="P17" s="483">
        <f t="shared" si="1"/>
        <v>0</v>
      </c>
      <c r="Q17" s="484">
        <f t="shared" si="2"/>
        <v>0</v>
      </c>
      <c r="R17" s="447" t="str">
        <f t="shared" si="3"/>
        <v/>
      </c>
      <c r="V17" s="99"/>
    </row>
    <row r="18" spans="2:31" ht="14.45" customHeight="1" x14ac:dyDescent="0.25">
      <c r="B18" s="438" t="s">
        <v>292</v>
      </c>
      <c r="C18" s="485">
        <f>'P25'!D90</f>
        <v>0</v>
      </c>
      <c r="D18" s="486" t="s">
        <v>422</v>
      </c>
      <c r="E18" s="450"/>
      <c r="F18" s="961" t="s">
        <v>382</v>
      </c>
      <c r="G18" s="962"/>
      <c r="H18" s="973"/>
      <c r="I18" s="973"/>
      <c r="J18" s="973"/>
      <c r="K18" s="477"/>
      <c r="L18" s="480" t="s">
        <v>376</v>
      </c>
      <c r="M18" s="481">
        <v>-0.9</v>
      </c>
      <c r="N18" s="482">
        <f>IF(C$8=0,0,C18/C$8)</f>
        <v>0</v>
      </c>
      <c r="O18" s="975"/>
      <c r="P18" s="483">
        <f t="shared" si="1"/>
        <v>0</v>
      </c>
      <c r="Q18" s="484">
        <f t="shared" si="2"/>
        <v>0</v>
      </c>
      <c r="R18" s="447" t="str">
        <f t="shared" si="3"/>
        <v/>
      </c>
      <c r="V18" s="99"/>
    </row>
    <row r="19" spans="2:31" ht="14.45" customHeight="1" x14ac:dyDescent="0.25">
      <c r="B19" s="438" t="s">
        <v>424</v>
      </c>
      <c r="C19" s="485">
        <f>'P25'!D91</f>
        <v>0</v>
      </c>
      <c r="D19" s="486" t="s">
        <v>423</v>
      </c>
      <c r="E19" s="450"/>
      <c r="F19" s="964" t="s">
        <v>384</v>
      </c>
      <c r="G19" s="964"/>
      <c r="H19" s="973"/>
      <c r="I19" s="973"/>
      <c r="J19" s="973"/>
      <c r="K19" s="477"/>
      <c r="L19" s="480" t="s">
        <v>379</v>
      </c>
      <c r="M19" s="481">
        <v>-0.7</v>
      </c>
      <c r="N19" s="482">
        <f>IF(C$8=0,0,C19/C$8)</f>
        <v>0</v>
      </c>
      <c r="O19" s="976"/>
      <c r="P19" s="483">
        <f t="shared" si="1"/>
        <v>0</v>
      </c>
      <c r="Q19" s="484">
        <f t="shared" si="2"/>
        <v>0</v>
      </c>
      <c r="R19" s="447" t="str">
        <f t="shared" si="3"/>
        <v/>
      </c>
      <c r="V19" s="99"/>
    </row>
    <row r="20" spans="2:31" ht="12.75" customHeight="1" x14ac:dyDescent="0.25">
      <c r="B20" s="489" t="str">
        <f>IF(G8=100%,"doplňte rozsah opatření (jinak zůstane 100% neplnění):","")</f>
        <v/>
      </c>
      <c r="C20" s="490" t="str">
        <f>IF(G8=100%,"↓","")</f>
        <v/>
      </c>
      <c r="D20" s="491"/>
      <c r="E20" s="491"/>
      <c r="F20" s="965" t="s">
        <v>390</v>
      </c>
      <c r="G20" s="965"/>
      <c r="H20" s="492"/>
      <c r="I20" s="963"/>
      <c r="J20" s="963"/>
      <c r="K20" s="493"/>
      <c r="O20" s="312" t="s">
        <v>383</v>
      </c>
      <c r="P20" s="494" t="str">
        <f>IF(C8=0,"",P8+SUM(P14:P19))</f>
        <v/>
      </c>
      <c r="Q20" s="495" t="str">
        <f>IF(C8=0,"",Q8+SUM(Q14:Q19))</f>
        <v/>
      </c>
      <c r="R20" s="496" t="str">
        <f t="shared" si="3"/>
        <v/>
      </c>
      <c r="S20" s="497"/>
    </row>
    <row r="21" spans="2:31" ht="3" customHeight="1" x14ac:dyDescent="0.25">
      <c r="B21" s="5"/>
      <c r="C21" s="5"/>
      <c r="D21" s="498"/>
      <c r="E21" s="498"/>
      <c r="H21" s="5"/>
      <c r="I21" s="963"/>
      <c r="J21" s="963"/>
      <c r="K21" s="493"/>
      <c r="L21" s="5"/>
      <c r="M21" s="5"/>
      <c r="N21" s="5"/>
      <c r="O21" s="5"/>
      <c r="R21" s="472"/>
    </row>
    <row r="22" spans="2:31" ht="13.5" customHeight="1" x14ac:dyDescent="0.25">
      <c r="B22" s="499" t="s">
        <v>527</v>
      </c>
      <c r="C22" s="672">
        <f>SUM(C23:C38)</f>
        <v>0</v>
      </c>
      <c r="D22" s="673" t="s">
        <v>612</v>
      </c>
      <c r="E22" s="441"/>
      <c r="H22" s="500"/>
      <c r="I22" s="500"/>
      <c r="J22" s="500"/>
      <c r="K22" s="433"/>
      <c r="L22" s="501" t="str">
        <f>B22</f>
        <v>Dodání organické hmoty do půdy (2024/2025) – z listu "O24-26"</v>
      </c>
      <c r="M22" s="109" t="s">
        <v>365</v>
      </c>
      <c r="N22" s="109" t="s">
        <v>385</v>
      </c>
      <c r="O22" s="109" t="s">
        <v>386</v>
      </c>
      <c r="P22" s="109"/>
      <c r="Q22" s="502" t="s">
        <v>387</v>
      </c>
      <c r="R22" s="503" t="s">
        <v>388</v>
      </c>
      <c r="S22" s="504" t="s">
        <v>389</v>
      </c>
      <c r="V22" s="505"/>
      <c r="W22" s="505"/>
      <c r="X22" s="505"/>
      <c r="Y22" s="505"/>
      <c r="Z22" s="505"/>
      <c r="AA22" s="505"/>
    </row>
    <row r="23" spans="2:31" ht="12.95" hidden="1" customHeight="1" x14ac:dyDescent="0.25">
      <c r="B23" s="506" t="s">
        <v>462</v>
      </c>
      <c r="C23" s="507">
        <f>'O24-26'!B79</f>
        <v>0</v>
      </c>
      <c r="D23" s="508"/>
      <c r="E23" s="509"/>
      <c r="G23" s="966"/>
      <c r="H23" s="5"/>
      <c r="I23" s="510"/>
      <c r="J23" s="510"/>
      <c r="K23" s="465"/>
      <c r="L23" s="175" t="str">
        <f>B23</f>
        <v>Hnůj, separát kejdy – řádky s dalšími hnojivy jsou skryty...</v>
      </c>
      <c r="M23" s="481">
        <v>1</v>
      </c>
      <c r="N23" s="511">
        <v>30</v>
      </c>
      <c r="O23" s="483">
        <v>0.22</v>
      </c>
      <c r="P23" s="483">
        <f>J23</f>
        <v>0</v>
      </c>
      <c r="Q23" s="484">
        <f>(C23/N23)*M23</f>
        <v>0</v>
      </c>
      <c r="R23" s="447" t="str">
        <f t="shared" ref="R23:R38" si="4">IF(C$8=0,"",((30*0.165)*Q23)/C$8)</f>
        <v/>
      </c>
      <c r="V23" s="512"/>
      <c r="W23" s="513"/>
      <c r="X23" s="514"/>
      <c r="Y23" s="515"/>
      <c r="Z23" s="516"/>
      <c r="AA23" s="514"/>
    </row>
    <row r="24" spans="2:31" ht="12.95" hidden="1" customHeight="1" x14ac:dyDescent="0.25">
      <c r="B24" s="506" t="s">
        <v>302</v>
      </c>
      <c r="C24" s="507">
        <f>'O24-26'!B80</f>
        <v>0</v>
      </c>
      <c r="D24" s="508"/>
      <c r="E24" s="509"/>
      <c r="G24" s="966"/>
      <c r="H24" s="5"/>
      <c r="I24" s="510"/>
      <c r="J24" s="510"/>
      <c r="K24" s="465"/>
      <c r="L24" s="175" t="str">
        <f t="shared" ref="L24:L38" si="5">B24</f>
        <v>Separát digestátu, tuhý digestát</v>
      </c>
      <c r="M24" s="481">
        <v>0.75</v>
      </c>
      <c r="N24" s="511">
        <v>25</v>
      </c>
      <c r="O24" s="483">
        <v>0.23</v>
      </c>
      <c r="P24" s="483">
        <f t="shared" ref="P24:P38" si="6">J24</f>
        <v>0</v>
      </c>
      <c r="Q24" s="484">
        <f t="shared" ref="Q24:Q38" si="7">(C24/N24)*M24</f>
        <v>0</v>
      </c>
      <c r="R24" s="447" t="str">
        <f t="shared" si="4"/>
        <v/>
      </c>
      <c r="V24" s="512"/>
      <c r="W24" s="513"/>
      <c r="X24" s="514"/>
      <c r="Y24" s="515"/>
      <c r="Z24" s="516"/>
      <c r="AA24" s="514"/>
    </row>
    <row r="25" spans="2:31" ht="12.95" hidden="1" customHeight="1" x14ac:dyDescent="0.25">
      <c r="B25" s="506" t="s">
        <v>303</v>
      </c>
      <c r="C25" s="507">
        <f>'O24-26'!B81</f>
        <v>0</v>
      </c>
      <c r="D25" s="508"/>
      <c r="E25" s="509"/>
      <c r="G25" s="966"/>
      <c r="H25" s="5"/>
      <c r="I25" s="510"/>
      <c r="J25" s="510"/>
      <c r="K25" s="465"/>
      <c r="L25" s="175" t="str">
        <f t="shared" si="5"/>
        <v>Kompost s poměrem C:N 10 a vyšším</v>
      </c>
      <c r="M25" s="481">
        <v>1</v>
      </c>
      <c r="N25" s="511">
        <v>15</v>
      </c>
      <c r="O25" s="483">
        <v>0.4</v>
      </c>
      <c r="P25" s="483">
        <f t="shared" si="6"/>
        <v>0</v>
      </c>
      <c r="Q25" s="484">
        <f t="shared" si="7"/>
        <v>0</v>
      </c>
      <c r="R25" s="447" t="str">
        <f t="shared" si="4"/>
        <v/>
      </c>
      <c r="V25" s="512"/>
      <c r="W25" s="513"/>
      <c r="X25" s="514"/>
      <c r="Y25" s="515"/>
      <c r="Z25" s="516"/>
      <c r="AA25" s="514"/>
    </row>
    <row r="26" spans="2:31" ht="12.95" hidden="1" customHeight="1" x14ac:dyDescent="0.25">
      <c r="B26" s="506" t="s">
        <v>391</v>
      </c>
      <c r="C26" s="507">
        <f>'O24-26'!B82</f>
        <v>0</v>
      </c>
      <c r="D26" s="508"/>
      <c r="E26" s="509"/>
      <c r="G26" s="966"/>
      <c r="H26" s="5"/>
      <c r="I26" s="510"/>
      <c r="J26" s="510"/>
      <c r="K26" s="465"/>
      <c r="L26" s="175" t="str">
        <f t="shared" si="5"/>
        <v>Kompost s poměrem C:N nižším než 10</v>
      </c>
      <c r="M26" s="481">
        <v>0.65</v>
      </c>
      <c r="N26" s="511">
        <v>15</v>
      </c>
      <c r="O26" s="483">
        <v>0.4</v>
      </c>
      <c r="P26" s="483">
        <f t="shared" si="6"/>
        <v>0</v>
      </c>
      <c r="Q26" s="484">
        <f t="shared" si="7"/>
        <v>0</v>
      </c>
      <c r="R26" s="447" t="str">
        <f t="shared" si="4"/>
        <v/>
      </c>
      <c r="V26" s="512"/>
      <c r="W26" s="513"/>
      <c r="X26" s="514"/>
      <c r="Y26" s="515"/>
      <c r="Z26" s="516"/>
      <c r="AA26" s="514"/>
    </row>
    <row r="27" spans="2:31" ht="12.95" hidden="1" customHeight="1" x14ac:dyDescent="0.25">
      <c r="B27" s="506" t="s">
        <v>392</v>
      </c>
      <c r="C27" s="507">
        <f>'O24-26'!B83</f>
        <v>0</v>
      </c>
      <c r="D27" s="508"/>
      <c r="E27" s="509"/>
      <c r="G27" s="966"/>
      <c r="H27" s="5"/>
      <c r="I27" s="510"/>
      <c r="J27" s="517"/>
      <c r="K27" s="518"/>
      <c r="L27" s="175" t="str">
        <f t="shared" si="5"/>
        <v>Upravený kal (ve 100% sušině)</v>
      </c>
      <c r="M27" s="481">
        <v>0.4</v>
      </c>
      <c r="N27" s="511">
        <v>5</v>
      </c>
      <c r="O27" s="483">
        <v>1</v>
      </c>
      <c r="P27" s="519"/>
      <c r="Q27" s="484">
        <f t="shared" si="7"/>
        <v>0</v>
      </c>
      <c r="R27" s="447" t="str">
        <f t="shared" si="4"/>
        <v/>
      </c>
      <c r="V27" s="512"/>
      <c r="W27" s="513"/>
      <c r="X27" s="514"/>
      <c r="Y27" s="515"/>
      <c r="Z27" s="516"/>
      <c r="AA27" s="514"/>
      <c r="AE27" s="514"/>
    </row>
    <row r="28" spans="2:31" ht="12.95" hidden="1" customHeight="1" x14ac:dyDescent="0.25">
      <c r="B28" s="506" t="s">
        <v>306</v>
      </c>
      <c r="C28" s="507">
        <f>'O24-26'!B84</f>
        <v>0</v>
      </c>
      <c r="D28" s="508"/>
      <c r="E28" s="509"/>
      <c r="F28" s="520"/>
      <c r="G28" s="966"/>
      <c r="H28" s="5"/>
      <c r="I28" s="510"/>
      <c r="J28" s="510"/>
      <c r="K28" s="510"/>
      <c r="L28" s="175" t="str">
        <f t="shared" si="5"/>
        <v>Kejda skotu</v>
      </c>
      <c r="M28" s="481">
        <v>0.18</v>
      </c>
      <c r="N28" s="511">
        <v>20</v>
      </c>
      <c r="O28" s="483">
        <v>7.2999999999999995E-2</v>
      </c>
      <c r="P28" s="483">
        <f t="shared" si="6"/>
        <v>0</v>
      </c>
      <c r="Q28" s="484">
        <f t="shared" si="7"/>
        <v>0</v>
      </c>
      <c r="R28" s="447" t="str">
        <f t="shared" si="4"/>
        <v/>
      </c>
      <c r="V28" s="512"/>
      <c r="W28" s="513"/>
      <c r="X28" s="514"/>
      <c r="Y28" s="515"/>
      <c r="Z28" s="516"/>
      <c r="AA28" s="514"/>
      <c r="AE28" s="514"/>
    </row>
    <row r="29" spans="2:31" ht="12.95" hidden="1" customHeight="1" x14ac:dyDescent="0.25">
      <c r="B29" s="506" t="s">
        <v>94</v>
      </c>
      <c r="C29" s="507">
        <f>'O24-26'!B85</f>
        <v>0</v>
      </c>
      <c r="D29" s="508"/>
      <c r="E29" s="509"/>
      <c r="F29" s="520"/>
      <c r="G29" s="966"/>
      <c r="H29" s="5"/>
      <c r="I29" s="510"/>
      <c r="J29" s="510"/>
      <c r="K29" s="510"/>
      <c r="L29" s="175" t="str">
        <f t="shared" si="5"/>
        <v>Fugát kejdy skotu</v>
      </c>
      <c r="M29" s="481">
        <v>0.15</v>
      </c>
      <c r="N29" s="511">
        <v>20</v>
      </c>
      <c r="O29" s="483">
        <v>5.8000000000000003E-2</v>
      </c>
      <c r="P29" s="483">
        <f t="shared" si="6"/>
        <v>0</v>
      </c>
      <c r="Q29" s="484">
        <f t="shared" si="7"/>
        <v>0</v>
      </c>
      <c r="R29" s="447" t="str">
        <f t="shared" si="4"/>
        <v/>
      </c>
      <c r="V29" s="512"/>
      <c r="W29" s="513"/>
      <c r="X29" s="514"/>
      <c r="Y29" s="515"/>
      <c r="Z29" s="516"/>
      <c r="AA29" s="514"/>
      <c r="AE29" s="514"/>
    </row>
    <row r="30" spans="2:31" ht="12.95" hidden="1" customHeight="1" x14ac:dyDescent="0.25">
      <c r="B30" s="506" t="s">
        <v>307</v>
      </c>
      <c r="C30" s="507">
        <f>'O24-26'!B86</f>
        <v>0</v>
      </c>
      <c r="D30" s="508"/>
      <c r="E30" s="509"/>
      <c r="F30" s="520"/>
      <c r="G30" s="966"/>
      <c r="H30" s="5"/>
      <c r="I30" s="510"/>
      <c r="J30" s="510"/>
      <c r="K30" s="510"/>
      <c r="L30" s="175" t="str">
        <f t="shared" si="5"/>
        <v>Kejda prasat</v>
      </c>
      <c r="M30" s="481">
        <v>0.1</v>
      </c>
      <c r="N30" s="511">
        <v>20</v>
      </c>
      <c r="O30" s="483">
        <v>5.2999999999999999E-2</v>
      </c>
      <c r="P30" s="483">
        <f t="shared" si="6"/>
        <v>0</v>
      </c>
      <c r="Q30" s="484">
        <f t="shared" si="7"/>
        <v>0</v>
      </c>
      <c r="R30" s="447" t="str">
        <f t="shared" si="4"/>
        <v/>
      </c>
      <c r="V30" s="512"/>
      <c r="W30" s="513"/>
      <c r="X30" s="514"/>
      <c r="Y30" s="515"/>
      <c r="Z30" s="516"/>
      <c r="AA30" s="514"/>
      <c r="AE30" s="514"/>
    </row>
    <row r="31" spans="2:31" ht="12.95" hidden="1" customHeight="1" x14ac:dyDescent="0.25">
      <c r="B31" s="506" t="s">
        <v>96</v>
      </c>
      <c r="C31" s="507">
        <f>'O24-26'!B87</f>
        <v>0</v>
      </c>
      <c r="D31" s="508"/>
      <c r="E31" s="509"/>
      <c r="F31" s="520"/>
      <c r="G31" s="966"/>
      <c r="H31" s="5"/>
      <c r="I31" s="510"/>
      <c r="J31" s="510"/>
      <c r="K31" s="510"/>
      <c r="L31" s="175" t="str">
        <f t="shared" si="5"/>
        <v>Fugát kejdy prasat</v>
      </c>
      <c r="M31" s="481">
        <v>7.0000000000000007E-2</v>
      </c>
      <c r="N31" s="511">
        <v>20</v>
      </c>
      <c r="O31" s="483">
        <v>3.4000000000000002E-2</v>
      </c>
      <c r="P31" s="483">
        <f t="shared" si="6"/>
        <v>0</v>
      </c>
      <c r="Q31" s="484">
        <f t="shared" si="7"/>
        <v>0</v>
      </c>
      <c r="R31" s="447" t="str">
        <f t="shared" si="4"/>
        <v/>
      </c>
      <c r="V31" s="512"/>
      <c r="W31" s="513"/>
      <c r="X31" s="514"/>
      <c r="Y31" s="515"/>
      <c r="Z31" s="516"/>
      <c r="AA31" s="514"/>
      <c r="AE31" s="514"/>
    </row>
    <row r="32" spans="2:31" ht="12.95" hidden="1" customHeight="1" x14ac:dyDescent="0.25">
      <c r="B32" s="506" t="s">
        <v>308</v>
      </c>
      <c r="C32" s="507">
        <f>'O24-26'!B88</f>
        <v>0</v>
      </c>
      <c r="D32" s="508"/>
      <c r="E32" s="509"/>
      <c r="F32" s="520"/>
      <c r="G32" s="966"/>
      <c r="H32" s="5"/>
      <c r="I32" s="510"/>
      <c r="J32" s="510"/>
      <c r="K32" s="510"/>
      <c r="L32" s="175" t="str">
        <f t="shared" si="5"/>
        <v>Digestát</v>
      </c>
      <c r="M32" s="481">
        <v>0.15</v>
      </c>
      <c r="N32" s="511">
        <v>20</v>
      </c>
      <c r="O32" s="483">
        <v>6.5000000000000002E-2</v>
      </c>
      <c r="P32" s="483">
        <f t="shared" si="6"/>
        <v>0</v>
      </c>
      <c r="Q32" s="484">
        <f t="shared" si="7"/>
        <v>0</v>
      </c>
      <c r="R32" s="447" t="str">
        <f t="shared" si="4"/>
        <v/>
      </c>
      <c r="V32" s="512"/>
      <c r="W32" s="513"/>
      <c r="X32" s="514"/>
      <c r="Y32" s="515"/>
      <c r="Z32" s="516"/>
      <c r="AA32" s="514"/>
      <c r="AE32" s="514"/>
    </row>
    <row r="33" spans="2:31" ht="12.95" hidden="1" customHeight="1" x14ac:dyDescent="0.25">
      <c r="B33" s="506" t="s">
        <v>98</v>
      </c>
      <c r="C33" s="507">
        <f>'O24-26'!B89</f>
        <v>0</v>
      </c>
      <c r="D33" s="508"/>
      <c r="E33" s="509"/>
      <c r="F33" s="520"/>
      <c r="G33" s="966"/>
      <c r="H33" s="5"/>
      <c r="I33" s="510"/>
      <c r="J33" s="510"/>
      <c r="K33" s="510"/>
      <c r="L33" s="175" t="str">
        <f t="shared" si="5"/>
        <v>Fugát digestátu</v>
      </c>
      <c r="M33" s="481">
        <v>0.1</v>
      </c>
      <c r="N33" s="511">
        <v>20</v>
      </c>
      <c r="O33" s="483">
        <v>4.2999999999999997E-2</v>
      </c>
      <c r="P33" s="483">
        <f t="shared" si="6"/>
        <v>0</v>
      </c>
      <c r="Q33" s="484">
        <f t="shared" si="7"/>
        <v>0</v>
      </c>
      <c r="R33" s="447" t="str">
        <f t="shared" si="4"/>
        <v/>
      </c>
      <c r="V33" s="512"/>
      <c r="W33" s="513"/>
      <c r="X33" s="514"/>
      <c r="Y33" s="515"/>
      <c r="Z33" s="516"/>
      <c r="AA33" s="514"/>
      <c r="AE33" s="514"/>
    </row>
    <row r="34" spans="2:31" ht="12.95" hidden="1" customHeight="1" x14ac:dyDescent="0.25">
      <c r="B34" s="506" t="s">
        <v>309</v>
      </c>
      <c r="C34" s="507">
        <f>'O24-26'!B90</f>
        <v>0</v>
      </c>
      <c r="D34" s="508"/>
      <c r="E34" s="509"/>
      <c r="F34" s="520"/>
      <c r="G34" s="966"/>
      <c r="H34" s="5"/>
      <c r="I34" s="510"/>
      <c r="J34" s="510"/>
      <c r="K34" s="510"/>
      <c r="L34" s="175" t="str">
        <f t="shared" si="5"/>
        <v>Výpalky melasové zahuštěné</v>
      </c>
      <c r="M34" s="481">
        <v>0.15</v>
      </c>
      <c r="N34" s="511">
        <v>5</v>
      </c>
      <c r="O34" s="483">
        <v>0.3</v>
      </c>
      <c r="P34" s="483">
        <f t="shared" si="6"/>
        <v>0</v>
      </c>
      <c r="Q34" s="484">
        <f t="shared" si="7"/>
        <v>0</v>
      </c>
      <c r="R34" s="447" t="str">
        <f t="shared" si="4"/>
        <v/>
      </c>
      <c r="V34" s="512"/>
      <c r="W34" s="513"/>
      <c r="X34" s="514"/>
      <c r="Y34" s="515"/>
      <c r="Z34" s="516"/>
      <c r="AA34" s="514"/>
      <c r="AE34" s="514"/>
    </row>
    <row r="35" spans="2:31" ht="12.95" hidden="1" customHeight="1" x14ac:dyDescent="0.25">
      <c r="B35" s="506" t="s">
        <v>310</v>
      </c>
      <c r="C35" s="507">
        <f>'O24-26'!B91</f>
        <v>0</v>
      </c>
      <c r="D35" s="508"/>
      <c r="E35" s="509"/>
      <c r="F35" s="520"/>
      <c r="G35" s="966"/>
      <c r="H35" s="5"/>
      <c r="I35" s="510"/>
      <c r="J35" s="510"/>
      <c r="K35" s="510"/>
      <c r="L35" s="175" t="str">
        <f t="shared" si="5"/>
        <v>Výpalky lihovarnické</v>
      </c>
      <c r="M35" s="481">
        <v>0.1</v>
      </c>
      <c r="N35" s="511">
        <v>20</v>
      </c>
      <c r="O35" s="483">
        <v>0.05</v>
      </c>
      <c r="P35" s="483">
        <f t="shared" si="6"/>
        <v>0</v>
      </c>
      <c r="Q35" s="484">
        <f t="shared" si="7"/>
        <v>0</v>
      </c>
      <c r="R35" s="447" t="str">
        <f t="shared" si="4"/>
        <v/>
      </c>
      <c r="V35" s="512"/>
      <c r="W35" s="513"/>
      <c r="X35" s="514"/>
      <c r="Y35" s="515"/>
      <c r="Z35" s="516"/>
      <c r="AA35" s="514"/>
      <c r="AE35" s="514"/>
    </row>
    <row r="36" spans="2:31" ht="12.95" hidden="1" customHeight="1" x14ac:dyDescent="0.25">
      <c r="B36" s="506" t="s">
        <v>311</v>
      </c>
      <c r="C36" s="507">
        <f>'O24-26'!B92</f>
        <v>0</v>
      </c>
      <c r="D36" s="508"/>
      <c r="E36" s="509"/>
      <c r="F36" s="520"/>
      <c r="G36" s="966"/>
      <c r="H36" s="5"/>
      <c r="I36" s="510"/>
      <c r="J36" s="510"/>
      <c r="K36" s="510"/>
      <c r="L36" s="175" t="str">
        <f t="shared" si="5"/>
        <v>Drůbeží trus sušený</v>
      </c>
      <c r="M36" s="481">
        <v>0.3</v>
      </c>
      <c r="N36" s="511">
        <v>5</v>
      </c>
      <c r="O36" s="483">
        <v>0.73</v>
      </c>
      <c r="P36" s="483">
        <f t="shared" si="6"/>
        <v>0</v>
      </c>
      <c r="Q36" s="484">
        <f t="shared" si="7"/>
        <v>0</v>
      </c>
      <c r="R36" s="447" t="str">
        <f t="shared" si="4"/>
        <v/>
      </c>
      <c r="V36" s="512"/>
      <c r="W36" s="513"/>
      <c r="X36" s="514"/>
      <c r="Y36" s="515"/>
      <c r="Z36" s="516"/>
      <c r="AA36" s="514"/>
      <c r="AE36" s="514"/>
    </row>
    <row r="37" spans="2:31" ht="12.95" hidden="1" customHeight="1" x14ac:dyDescent="0.25">
      <c r="B37" s="506" t="s">
        <v>7</v>
      </c>
      <c r="C37" s="507">
        <f>'O24-26'!B93</f>
        <v>0</v>
      </c>
      <c r="D37" s="508"/>
      <c r="E37" s="509"/>
      <c r="F37" s="520"/>
      <c r="G37" s="966"/>
      <c r="H37" s="5"/>
      <c r="I37" s="510"/>
      <c r="J37" s="510"/>
      <c r="K37" s="510"/>
      <c r="L37" s="175" t="str">
        <f t="shared" si="5"/>
        <v>Drůbeží trus s podestýlkou</v>
      </c>
      <c r="M37" s="481">
        <v>0.17</v>
      </c>
      <c r="N37" s="511">
        <v>5</v>
      </c>
      <c r="O37" s="483">
        <v>0.42</v>
      </c>
      <c r="P37" s="483">
        <f t="shared" si="6"/>
        <v>0</v>
      </c>
      <c r="Q37" s="484">
        <f t="shared" si="7"/>
        <v>0</v>
      </c>
      <c r="R37" s="447" t="str">
        <f t="shared" si="4"/>
        <v/>
      </c>
      <c r="V37" s="512"/>
      <c r="W37" s="513"/>
      <c r="X37" s="514"/>
      <c r="Y37" s="515"/>
      <c r="Z37" s="516"/>
      <c r="AA37" s="514"/>
      <c r="AE37" s="514"/>
    </row>
    <row r="38" spans="2:31" ht="12.95" hidden="1" customHeight="1" x14ac:dyDescent="0.25">
      <c r="B38" s="506" t="s">
        <v>312</v>
      </c>
      <c r="C38" s="507">
        <f>'O24-26'!B94</f>
        <v>0</v>
      </c>
      <c r="D38" s="508"/>
      <c r="E38" s="509"/>
      <c r="F38" s="520"/>
      <c r="G38" s="966"/>
      <c r="H38" s="5"/>
      <c r="I38" s="510"/>
      <c r="J38" s="510"/>
      <c r="K38" s="510"/>
      <c r="L38" s="175" t="str">
        <f t="shared" si="5"/>
        <v>Drůbeží trus uleželý</v>
      </c>
      <c r="M38" s="481">
        <v>0.13</v>
      </c>
      <c r="N38" s="511">
        <v>5</v>
      </c>
      <c r="O38" s="483">
        <v>0.32</v>
      </c>
      <c r="P38" s="483">
        <f t="shared" si="6"/>
        <v>0</v>
      </c>
      <c r="Q38" s="484">
        <f t="shared" si="7"/>
        <v>0</v>
      </c>
      <c r="R38" s="447" t="str">
        <f t="shared" si="4"/>
        <v/>
      </c>
      <c r="V38" s="512"/>
      <c r="W38" s="513"/>
      <c r="X38" s="514"/>
      <c r="Y38" s="515"/>
      <c r="Z38" s="516"/>
      <c r="AA38" s="514"/>
      <c r="AE38" s="514"/>
    </row>
    <row r="39" spans="2:31" ht="13.35" customHeight="1" x14ac:dyDescent="0.25">
      <c r="B39" s="489" t="str">
        <f>IF(G8=100%,"doplňte rozsah opatření (jinak zůstane 100% neplnění):","")</f>
        <v/>
      </c>
      <c r="C39" s="490" t="str">
        <f>IF(G8=100%,"↓","")</f>
        <v/>
      </c>
      <c r="D39" s="457"/>
      <c r="E39" s="457"/>
      <c r="F39" s="149"/>
      <c r="G39" s="966"/>
      <c r="H39" s="521"/>
      <c r="I39" s="521"/>
      <c r="J39" s="521"/>
      <c r="K39" s="521"/>
      <c r="L39" s="522" t="s">
        <v>393</v>
      </c>
      <c r="M39" s="523"/>
      <c r="N39" s="524"/>
      <c r="O39" s="525"/>
      <c r="P39" s="444"/>
      <c r="Q39" s="526">
        <f>SUM(Q23:Q38)</f>
        <v>0</v>
      </c>
      <c r="R39" s="496">
        <f>SUM(R23:R38)</f>
        <v>0</v>
      </c>
    </row>
    <row r="40" spans="2:31" ht="1.5" customHeight="1" x14ac:dyDescent="0.25">
      <c r="B40" s="5"/>
      <c r="C40" s="152"/>
      <c r="D40" s="457"/>
      <c r="E40" s="457"/>
      <c r="F40" s="152"/>
      <c r="G40" s="966"/>
      <c r="H40" s="413"/>
      <c r="I40" s="413"/>
      <c r="J40" s="413"/>
      <c r="K40" s="413"/>
      <c r="L40" s="5"/>
      <c r="M40" s="140"/>
      <c r="N40" s="527"/>
      <c r="O40" s="528"/>
      <c r="P40" s="529"/>
      <c r="Q40" s="530"/>
      <c r="R40" s="531"/>
    </row>
    <row r="41" spans="2:31" ht="13.5" customHeight="1" thickBot="1" x14ac:dyDescent="0.3">
      <c r="B41" s="501" t="s">
        <v>394</v>
      </c>
      <c r="C41" s="475" t="s">
        <v>280</v>
      </c>
      <c r="D41" s="440" t="s">
        <v>395</v>
      </c>
      <c r="E41" s="441"/>
      <c r="F41" s="500"/>
      <c r="G41" s="966"/>
      <c r="H41" s="433"/>
      <c r="I41" s="433"/>
      <c r="J41" s="433"/>
      <c r="K41" s="433"/>
      <c r="L41" s="501" t="str">
        <f>B41</f>
        <v>Dodání organické hmoty a další opatření (2024/2025)</v>
      </c>
      <c r="M41" s="109" t="s">
        <v>365</v>
      </c>
      <c r="N41" s="109"/>
      <c r="O41" s="503"/>
      <c r="P41" s="503"/>
      <c r="Q41" s="502" t="s">
        <v>387</v>
      </c>
      <c r="R41" s="503" t="s">
        <v>388</v>
      </c>
      <c r="S41" s="504" t="s">
        <v>389</v>
      </c>
    </row>
    <row r="42" spans="2:31" ht="12.95" customHeight="1" thickBot="1" x14ac:dyDescent="0.3">
      <c r="B42" s="532" t="s">
        <v>589</v>
      </c>
      <c r="C42" s="222"/>
      <c r="D42" s="449" t="s">
        <v>590</v>
      </c>
      <c r="E42" s="450"/>
      <c r="F42" s="533"/>
      <c r="G42" s="966"/>
      <c r="H42" s="453"/>
      <c r="I42" s="453"/>
      <c r="J42" s="453"/>
      <c r="K42" s="453"/>
      <c r="L42" s="534" t="str">
        <f>B42</f>
        <v xml:space="preserve">Sláma po sklizni kukuřice CCM. </v>
      </c>
      <c r="M42" s="481">
        <v>0.5</v>
      </c>
      <c r="N42" s="482"/>
      <c r="O42" s="535"/>
      <c r="P42" s="535"/>
      <c r="Q42" s="484">
        <f t="shared" ref="Q42:Q55" si="8">C42*M42</f>
        <v>0</v>
      </c>
      <c r="R42" s="447" t="str">
        <f t="shared" ref="R42:R55" si="9">IF(C$8=0,"",((30*0.165)*Q42)/C$8)</f>
        <v/>
      </c>
      <c r="V42" s="536"/>
      <c r="X42" s="537"/>
      <c r="Z42" s="515"/>
      <c r="AA42" s="514"/>
    </row>
    <row r="43" spans="2:31" ht="43.5" customHeight="1" thickBot="1" x14ac:dyDescent="0.3">
      <c r="B43" s="532" t="s">
        <v>452</v>
      </c>
      <c r="C43" s="485">
        <f>'P24'!O80</f>
        <v>0</v>
      </c>
      <c r="D43" s="449" t="s">
        <v>563</v>
      </c>
      <c r="E43" s="450"/>
      <c r="G43" s="966"/>
      <c r="H43" s="453"/>
      <c r="I43" s="453"/>
      <c r="J43" s="453"/>
      <c r="K43" s="453"/>
      <c r="L43" s="534" t="str">
        <f>B43</f>
        <v>Sláma obilnin (vč. kukuřice na zrno), olejnin, luskovin a dalších plodin pěstovaných na zrno či semeno (veškerá sláma, bez ohledu na přidání dusíku) atd.</v>
      </c>
      <c r="M43" s="481">
        <v>0.5</v>
      </c>
      <c r="N43" s="482"/>
      <c r="O43" s="535"/>
      <c r="P43" s="535"/>
      <c r="Q43" s="484">
        <f t="shared" si="8"/>
        <v>0</v>
      </c>
      <c r="R43" s="447" t="str">
        <f t="shared" ref="R43" si="10">IF(C$8=0,"",((30*0.165)*Q43)/C$8)</f>
        <v/>
      </c>
      <c r="V43" s="536"/>
      <c r="X43" s="537"/>
      <c r="Z43" s="515"/>
      <c r="AA43" s="514"/>
    </row>
    <row r="44" spans="2:31" ht="28.7" customHeight="1" thickBot="1" x14ac:dyDescent="0.3">
      <c r="B44" s="538" t="s">
        <v>396</v>
      </c>
      <c r="C44" s="222"/>
      <c r="D44" s="449" t="s">
        <v>397</v>
      </c>
      <c r="E44" s="539"/>
      <c r="F44" s="533"/>
      <c r="G44" s="966"/>
      <c r="H44" s="453"/>
      <c r="I44" s="453"/>
      <c r="J44" s="453"/>
      <c r="K44" s="453"/>
      <c r="L44" s="534" t="str">
        <f t="shared" ref="L44:L55" si="11">B44</f>
        <v>… z toho kombinace: sláma obilnin + kejda, digestát, výpalky</v>
      </c>
      <c r="M44" s="481">
        <v>0.1</v>
      </c>
      <c r="N44" s="482"/>
      <c r="O44" s="535"/>
      <c r="P44" s="535"/>
      <c r="Q44" s="484">
        <f t="shared" si="8"/>
        <v>0</v>
      </c>
      <c r="R44" s="447" t="str">
        <f t="shared" si="9"/>
        <v/>
      </c>
      <c r="V44" s="536"/>
      <c r="X44" s="537"/>
      <c r="Y44" s="515"/>
      <c r="Z44" s="515"/>
      <c r="AA44" s="514"/>
    </row>
    <row r="45" spans="2:31" ht="12.95" customHeight="1" thickBot="1" x14ac:dyDescent="0.3">
      <c r="B45" s="538" t="s">
        <v>429</v>
      </c>
      <c r="C45" s="485">
        <f>'P24'!O81</f>
        <v>0</v>
      </c>
      <c r="D45" s="540" t="s">
        <v>564</v>
      </c>
      <c r="E45" s="539"/>
      <c r="G45" s="966"/>
      <c r="H45" s="453"/>
      <c r="I45" s="453"/>
      <c r="J45" s="453"/>
      <c r="K45" s="453"/>
      <c r="L45" s="534" t="str">
        <f t="shared" si="11"/>
        <v>Chrást</v>
      </c>
      <c r="M45" s="481">
        <v>0.25</v>
      </c>
      <c r="N45" s="482"/>
      <c r="O45" s="541"/>
      <c r="P45" s="541"/>
      <c r="Q45" s="484">
        <f t="shared" ref="Q45:Q46" si="12">C45*M45</f>
        <v>0</v>
      </c>
      <c r="R45" s="447" t="str">
        <f t="shared" si="9"/>
        <v/>
      </c>
      <c r="V45" s="536"/>
      <c r="X45" s="537"/>
      <c r="Y45" s="515"/>
      <c r="Z45" s="515"/>
      <c r="AA45" s="514"/>
    </row>
    <row r="46" spans="2:31" ht="12.95" customHeight="1" x14ac:dyDescent="0.25">
      <c r="B46" s="542" t="s">
        <v>430</v>
      </c>
      <c r="C46" s="220"/>
      <c r="D46" s="540" t="s">
        <v>565</v>
      </c>
      <c r="E46" s="539"/>
      <c r="F46" s="533"/>
      <c r="G46" s="966"/>
      <c r="H46" s="453"/>
      <c r="I46" s="453"/>
      <c r="J46" s="453"/>
      <c r="K46" s="453"/>
      <c r="L46" s="534" t="str">
        <f t="shared" ref="L46" si="13">B46</f>
        <v>Nesklizené hlavní plodiny</v>
      </c>
      <c r="M46" s="481">
        <v>0.25</v>
      </c>
      <c r="N46" s="482"/>
      <c r="O46" s="541"/>
      <c r="P46" s="541"/>
      <c r="Q46" s="484">
        <f t="shared" si="12"/>
        <v>0</v>
      </c>
      <c r="R46" s="447" t="str">
        <f t="shared" ref="R46" si="14">IF(C$8=0,"",((30*0.165)*Q46)/C$8)</f>
        <v/>
      </c>
      <c r="V46" s="536"/>
      <c r="X46" s="537"/>
      <c r="Y46" s="515"/>
      <c r="Z46" s="515"/>
      <c r="AA46" s="514"/>
    </row>
    <row r="47" spans="2:31" ht="12.95" customHeight="1" x14ac:dyDescent="0.25">
      <c r="B47" s="542" t="s">
        <v>399</v>
      </c>
      <c r="C47" s="311"/>
      <c r="D47" s="540" t="s">
        <v>566</v>
      </c>
      <c r="E47" s="539"/>
      <c r="F47" s="533"/>
      <c r="G47" s="966"/>
      <c r="H47" s="453"/>
      <c r="I47" s="453"/>
      <c r="J47" s="453"/>
      <c r="K47" s="453"/>
      <c r="L47" s="534" t="str">
        <f t="shared" si="11"/>
        <v>Nesklizený obrost víceletých pícnin</v>
      </c>
      <c r="M47" s="481">
        <v>0.2</v>
      </c>
      <c r="N47" s="482"/>
      <c r="O47" s="541"/>
      <c r="P47" s="541"/>
      <c r="Q47" s="484">
        <f t="shared" si="8"/>
        <v>0</v>
      </c>
      <c r="R47" s="447" t="str">
        <f t="shared" si="9"/>
        <v/>
      </c>
      <c r="V47" s="536"/>
      <c r="X47" s="537"/>
      <c r="Y47" s="515"/>
      <c r="Z47" s="515"/>
      <c r="AA47" s="514"/>
    </row>
    <row r="48" spans="2:31" ht="12.95" customHeight="1" x14ac:dyDescent="0.25">
      <c r="B48" s="542" t="s">
        <v>400</v>
      </c>
      <c r="C48" s="311"/>
      <c r="D48" s="540" t="s">
        <v>567</v>
      </c>
      <c r="E48" s="539"/>
      <c r="F48" s="533"/>
      <c r="G48" s="966"/>
      <c r="H48" s="453"/>
      <c r="I48" s="453"/>
      <c r="J48" s="453"/>
      <c r="K48" s="453"/>
      <c r="L48" s="534" t="str">
        <f t="shared" si="11"/>
        <v xml:space="preserve">Meziplodiny na zelené hnojení – následuje ozimá plodina </v>
      </c>
      <c r="M48" s="481">
        <v>0.2</v>
      </c>
      <c r="N48" s="482"/>
      <c r="O48" s="541"/>
      <c r="P48" s="541"/>
      <c r="Q48" s="484">
        <f t="shared" si="8"/>
        <v>0</v>
      </c>
      <c r="R48" s="447" t="str">
        <f t="shared" si="9"/>
        <v/>
      </c>
    </row>
    <row r="49" spans="2:19" ht="12.95" customHeight="1" x14ac:dyDescent="0.25">
      <c r="B49" s="542" t="s">
        <v>401</v>
      </c>
      <c r="C49" s="311"/>
      <c r="D49" s="540" t="s">
        <v>568</v>
      </c>
      <c r="E49" s="539"/>
      <c r="F49" s="533"/>
      <c r="G49" s="966"/>
      <c r="H49" s="453"/>
      <c r="I49" s="453"/>
      <c r="J49" s="453"/>
      <c r="K49" s="453"/>
      <c r="L49" s="534" t="str">
        <f t="shared" si="11"/>
        <v>Meziplodiny na zelené hnojení – následuje jarní plodina</v>
      </c>
      <c r="M49" s="481">
        <v>0.35</v>
      </c>
      <c r="N49" s="482"/>
      <c r="O49" s="541"/>
      <c r="P49" s="541"/>
      <c r="Q49" s="484">
        <f t="shared" si="8"/>
        <v>0</v>
      </c>
      <c r="R49" s="447" t="str">
        <f t="shared" si="9"/>
        <v/>
      </c>
    </row>
    <row r="50" spans="2:19" ht="12.95" customHeight="1" x14ac:dyDescent="0.25">
      <c r="B50" s="542" t="s">
        <v>402</v>
      </c>
      <c r="C50" s="311"/>
      <c r="D50" s="540" t="s">
        <v>569</v>
      </c>
      <c r="E50" s="539"/>
      <c r="F50" s="533"/>
      <c r="G50" s="966"/>
      <c r="H50" s="453"/>
      <c r="I50" s="453"/>
      <c r="J50" s="453"/>
      <c r="K50" s="453"/>
      <c r="L50" s="534" t="str">
        <f t="shared" si="11"/>
        <v>Meziplodiny – současně s hlavní plodinou</v>
      </c>
      <c r="M50" s="481">
        <v>0.2</v>
      </c>
      <c r="N50" s="482"/>
      <c r="O50" s="541"/>
      <c r="P50" s="541"/>
      <c r="Q50" s="484">
        <f t="shared" si="8"/>
        <v>0</v>
      </c>
      <c r="R50" s="447" t="str">
        <f t="shared" si="9"/>
        <v/>
      </c>
    </row>
    <row r="51" spans="2:19" ht="12.95" customHeight="1" x14ac:dyDescent="0.25">
      <c r="B51" s="542" t="s">
        <v>403</v>
      </c>
      <c r="C51" s="311"/>
      <c r="D51" s="540" t="s">
        <v>570</v>
      </c>
      <c r="E51" s="539"/>
      <c r="F51" s="533"/>
      <c r="G51" s="966"/>
      <c r="H51" s="453"/>
      <c r="I51" s="453"/>
      <c r="J51" s="453"/>
      <c r="K51" s="453"/>
      <c r="L51" s="534" t="str">
        <f>B51</f>
        <v>Meziplodiny – odvoz zelené hmoty</v>
      </c>
      <c r="M51" s="481">
        <v>0.1</v>
      </c>
      <c r="N51" s="482"/>
      <c r="O51" s="541"/>
      <c r="P51" s="541"/>
      <c r="Q51" s="484">
        <f t="shared" si="8"/>
        <v>0</v>
      </c>
      <c r="R51" s="447" t="str">
        <f>IF(C$8=0,"",((30*0.165)*Q51)/C$8)</f>
        <v/>
      </c>
    </row>
    <row r="52" spans="2:19" ht="12.95" customHeight="1" x14ac:dyDescent="0.25">
      <c r="B52" s="542" t="s">
        <v>404</v>
      </c>
      <c r="C52" s="311"/>
      <c r="D52" s="540" t="s">
        <v>571</v>
      </c>
      <c r="E52" s="539"/>
      <c r="F52" s="533"/>
      <c r="G52" s="966"/>
      <c r="H52" s="453"/>
      <c r="I52" s="453"/>
      <c r="J52" s="453"/>
      <c r="K52" s="453"/>
      <c r="L52" s="534" t="str">
        <f t="shared" si="11"/>
        <v>Úhory a ochr. pásy* (JŽ, květen 2025) – bez odvozu zelené hmoty</v>
      </c>
      <c r="M52" s="481">
        <v>0.45</v>
      </c>
      <c r="N52" s="482"/>
      <c r="O52" s="541"/>
      <c r="P52" s="541"/>
      <c r="Q52" s="484">
        <f t="shared" si="8"/>
        <v>0</v>
      </c>
      <c r="R52" s="447" t="str">
        <f t="shared" si="9"/>
        <v/>
      </c>
    </row>
    <row r="53" spans="2:19" ht="12.95" customHeight="1" x14ac:dyDescent="0.25">
      <c r="B53" s="542" t="s">
        <v>405</v>
      </c>
      <c r="C53" s="311"/>
      <c r="D53" s="540" t="s">
        <v>572</v>
      </c>
      <c r="E53" s="539"/>
      <c r="F53" s="533"/>
      <c r="G53" s="966"/>
      <c r="H53" s="453"/>
      <c r="I53" s="453"/>
      <c r="J53" s="453"/>
      <c r="K53" s="453"/>
      <c r="L53" s="534" t="str">
        <f t="shared" si="11"/>
        <v>Úhory a ochr. pásy* (JŽ, květen 2025) – odvoz zelené hmoty</v>
      </c>
      <c r="M53" s="481">
        <v>0.1</v>
      </c>
      <c r="N53" s="482"/>
      <c r="O53" s="541"/>
      <c r="P53" s="541"/>
      <c r="Q53" s="484">
        <f t="shared" si="8"/>
        <v>0</v>
      </c>
      <c r="R53" s="447" t="str">
        <f t="shared" si="9"/>
        <v/>
      </c>
    </row>
    <row r="54" spans="2:19" ht="12.95" customHeight="1" x14ac:dyDescent="0.25">
      <c r="B54" s="542" t="s">
        <v>580</v>
      </c>
      <c r="C54" s="311"/>
      <c r="D54" s="540" t="s">
        <v>574</v>
      </c>
      <c r="E54" s="539"/>
      <c r="F54" s="533"/>
      <c r="G54" s="966"/>
      <c r="H54" s="453"/>
      <c r="I54" s="453"/>
      <c r="J54" s="453"/>
      <c r="K54" s="453"/>
      <c r="L54" s="534" t="str">
        <f t="shared" si="11"/>
        <v>Strip-till (vyplňte i tabulku č. 7 v listu "PT24-26")</v>
      </c>
      <c r="M54" s="481">
        <v>0.2</v>
      </c>
      <c r="N54" s="482"/>
      <c r="O54" s="535"/>
      <c r="P54" s="535"/>
      <c r="Q54" s="484">
        <f t="shared" si="8"/>
        <v>0</v>
      </c>
      <c r="R54" s="447" t="str">
        <f t="shared" si="9"/>
        <v/>
      </c>
    </row>
    <row r="55" spans="2:19" ht="12.95" customHeight="1" thickBot="1" x14ac:dyDescent="0.3">
      <c r="B55" s="538" t="s">
        <v>581</v>
      </c>
      <c r="C55" s="221"/>
      <c r="D55" s="543" t="s">
        <v>573</v>
      </c>
      <c r="E55" s="539"/>
      <c r="F55" s="533"/>
      <c r="G55" s="966"/>
      <c r="H55" s="453"/>
      <c r="I55" s="453"/>
      <c r="J55" s="453"/>
      <c r="K55" s="453"/>
      <c r="L55" s="534" t="str">
        <f t="shared" si="11"/>
        <v>Přímé setí (vyplňte i tabulku č. 7 v listu "PT24-26")</v>
      </c>
      <c r="M55" s="481">
        <v>0.2</v>
      </c>
      <c r="N55" s="482"/>
      <c r="O55" s="535"/>
      <c r="P55" s="535"/>
      <c r="Q55" s="484">
        <f t="shared" si="8"/>
        <v>0</v>
      </c>
      <c r="R55" s="447" t="str">
        <f t="shared" si="9"/>
        <v/>
      </c>
    </row>
    <row r="56" spans="2:19" ht="56.45" customHeight="1" x14ac:dyDescent="0.25">
      <c r="B56" s="959" t="s">
        <v>406</v>
      </c>
      <c r="C56" s="959"/>
      <c r="D56" s="959"/>
      <c r="E56" s="544"/>
      <c r="F56" s="521"/>
      <c r="G56" s="521"/>
      <c r="H56" s="521"/>
      <c r="I56" s="521"/>
      <c r="J56" s="521"/>
      <c r="K56" s="521"/>
      <c r="L56" s="522" t="s">
        <v>407</v>
      </c>
      <c r="M56" s="545"/>
      <c r="N56" s="175"/>
      <c r="O56" s="175"/>
      <c r="P56" s="444"/>
      <c r="Q56" s="526">
        <f>SUM(Q42:Q55)</f>
        <v>0</v>
      </c>
      <c r="R56" s="496">
        <f>SUM(R42:R55)</f>
        <v>0</v>
      </c>
    </row>
    <row r="57" spans="2:19" ht="4.3499999999999996" customHeight="1" x14ac:dyDescent="0.25">
      <c r="B57" s="4"/>
      <c r="C57" s="546"/>
      <c r="D57" s="546"/>
      <c r="E57" s="546"/>
      <c r="F57" s="547"/>
      <c r="G57" s="547"/>
      <c r="H57" s="547"/>
      <c r="I57" s="547"/>
      <c r="J57" s="547"/>
      <c r="K57" s="547"/>
      <c r="L57" s="548"/>
      <c r="M57" s="549"/>
      <c r="N57" s="5"/>
      <c r="O57" s="5"/>
      <c r="P57" s="549"/>
      <c r="Q57" s="550"/>
      <c r="R57" s="551"/>
      <c r="S57" s="552"/>
    </row>
    <row r="58" spans="2:19" ht="15" customHeight="1" x14ac:dyDescent="0.25">
      <c r="B58" s="722" t="str">
        <f>'P24'!B83</f>
        <v>Verze 4 (18. 9. 2025, www.carc.cz), kontakty: Ing. Jan Klír, CSc. (603 520 684; jan.klir@carc.cz), Ing. Lada Kozlovská (733 375 632; lada.kozlovska@carc.cz)</v>
      </c>
      <c r="C58" s="722"/>
      <c r="D58" s="722"/>
      <c r="E58" s="553"/>
      <c r="F58" s="547"/>
      <c r="G58" s="547"/>
      <c r="H58" s="547"/>
      <c r="I58" s="547"/>
      <c r="J58" s="547"/>
      <c r="K58" s="547"/>
      <c r="L58" s="554" t="s">
        <v>408</v>
      </c>
      <c r="M58" s="555"/>
      <c r="N58" s="556"/>
      <c r="O58" s="557"/>
      <c r="P58" s="558">
        <f>IF(C$8=0,0,Q58/C$8)</f>
        <v>0</v>
      </c>
      <c r="Q58" s="559">
        <f>Q39+Q56</f>
        <v>0</v>
      </c>
      <c r="R58" s="560">
        <f>R39+R56</f>
        <v>0</v>
      </c>
      <c r="S58" s="561" t="s">
        <v>409</v>
      </c>
    </row>
    <row r="59" spans="2:19" ht="18.95" customHeight="1" x14ac:dyDescent="0.25">
      <c r="E59" s="553"/>
      <c r="F59" s="412"/>
      <c r="G59" s="412"/>
      <c r="H59" s="412"/>
      <c r="I59" s="412"/>
      <c r="J59" s="412"/>
      <c r="K59" s="412"/>
      <c r="L59" s="562" t="s">
        <v>410</v>
      </c>
      <c r="M59" s="563"/>
      <c r="N59" s="563"/>
      <c r="O59" s="564"/>
      <c r="P59" s="565">
        <f>IF(C$8=0,0,Q59/C$8)</f>
        <v>0</v>
      </c>
      <c r="Q59" s="566">
        <f>IF(C8=0,0,Q58-Q9)</f>
        <v>0</v>
      </c>
      <c r="R59" s="567">
        <f>IF(C8=0,0,R58-R20)</f>
        <v>0</v>
      </c>
      <c r="S59" s="561" t="s">
        <v>411</v>
      </c>
    </row>
    <row r="60" spans="2:19" ht="12" customHeight="1" x14ac:dyDescent="0.25">
      <c r="C60" s="5"/>
      <c r="D60" s="553"/>
      <c r="E60" s="553"/>
      <c r="F60" s="412"/>
      <c r="G60" s="412"/>
      <c r="H60" s="412"/>
      <c r="I60" s="412"/>
      <c r="J60" s="412"/>
      <c r="K60" s="412"/>
      <c r="L60" s="412"/>
      <c r="M60" s="568"/>
      <c r="N60" s="568"/>
      <c r="O60" s="568"/>
      <c r="P60" s="568"/>
      <c r="Q60" s="569"/>
      <c r="R60" s="569"/>
    </row>
    <row r="61" spans="2:19" ht="12.95" customHeight="1" x14ac:dyDescent="0.25">
      <c r="C61" s="5"/>
      <c r="D61" s="553"/>
      <c r="E61" s="553"/>
      <c r="F61" s="412"/>
      <c r="G61" s="412"/>
      <c r="H61" s="412"/>
      <c r="I61" s="412"/>
      <c r="J61" s="412"/>
      <c r="K61" s="412"/>
      <c r="L61" s="412"/>
      <c r="M61" s="5"/>
      <c r="N61" s="5"/>
      <c r="O61" s="5"/>
      <c r="P61" s="5"/>
    </row>
    <row r="62" spans="2:19" ht="11.25" customHeight="1" x14ac:dyDescent="0.25">
      <c r="S62" s="553"/>
    </row>
    <row r="64" spans="2:19" x14ac:dyDescent="0.25">
      <c r="C64" s="570"/>
      <c r="D64" s="570"/>
      <c r="E64" s="570"/>
      <c r="F64" s="570"/>
      <c r="G64" s="570"/>
      <c r="H64" s="570"/>
      <c r="I64" s="570"/>
      <c r="J64" s="570"/>
      <c r="K64" s="570"/>
      <c r="L64" s="570"/>
    </row>
  </sheetData>
  <sheetProtection algorithmName="SHA-512" hashValue="rFagme5Gls6j9xAheOnc+PLDBxPfoKb4Yrg3CCv3gBqFeI/Gi5J2qJlZFsRn1uVhgtgVVFHEu6mOAgJuGCLp7g==" saltValue="/MQKDpfqYxK9YCpuLA79mw==" spinCount="100000" sheet="1" formatCells="0" formatColumns="0" formatRows="0"/>
  <mergeCells count="23">
    <mergeCell ref="M8:O8"/>
    <mergeCell ref="D9:D11"/>
    <mergeCell ref="M9:O9"/>
    <mergeCell ref="F10:G12"/>
    <mergeCell ref="H13:J19"/>
    <mergeCell ref="O13:O19"/>
    <mergeCell ref="B56:D56"/>
    <mergeCell ref="B58:D58"/>
    <mergeCell ref="P13:Q13"/>
    <mergeCell ref="F18:G18"/>
    <mergeCell ref="I20:J21"/>
    <mergeCell ref="F19:G19"/>
    <mergeCell ref="F20:G20"/>
    <mergeCell ref="G23:G51"/>
    <mergeCell ref="G52:G55"/>
    <mergeCell ref="R4:R7"/>
    <mergeCell ref="P7:Q7"/>
    <mergeCell ref="B1:D1"/>
    <mergeCell ref="N1:O1"/>
    <mergeCell ref="C2:D2"/>
    <mergeCell ref="N2:O2"/>
    <mergeCell ref="N4:O4"/>
    <mergeCell ref="B6:C6"/>
  </mergeCells>
  <conditionalFormatting sqref="B20">
    <cfRule type="containsText" dxfId="85" priority="8" operator="containsText" text="rozsah">
      <formula>NOT(ISERROR(SEARCH("rozsah",B20)))</formula>
    </cfRule>
  </conditionalFormatting>
  <conditionalFormatting sqref="B39">
    <cfRule type="containsText" dxfId="84" priority="7" operator="containsText" text="rozsah">
      <formula>NOT(ISERROR(SEARCH("rozsah",B39)))</formula>
    </cfRule>
  </conditionalFormatting>
  <conditionalFormatting sqref="C4 I1 I4:K4">
    <cfRule type="containsText" dxfId="83" priority="41" operator="containsText" text="Nesplňuje">
      <formula>NOT(ISERROR(SEARCH("Nesplňuje",C1)))</formula>
    </cfRule>
  </conditionalFormatting>
  <conditionalFormatting sqref="C4">
    <cfRule type="cellIs" dxfId="82" priority="12" operator="equal">
      <formula>"splněna"</formula>
    </cfRule>
    <cfRule type="cellIs" dxfId="81" priority="13" operator="equal">
      <formula>"nesplněna"</formula>
    </cfRule>
    <cfRule type="containsText" dxfId="80" priority="34" operator="containsText" text="splněny">
      <formula>NOT(ISERROR(SEARCH("splněny",C4)))</formula>
    </cfRule>
    <cfRule type="containsText" dxfId="79" priority="33" operator="containsText" text="nesplněny">
      <formula>NOT(ISERROR(SEARCH("nesplněny",C4)))</formula>
    </cfRule>
  </conditionalFormatting>
  <conditionalFormatting sqref="C5 T6">
    <cfRule type="containsText" dxfId="78" priority="39" operator="containsText" text="Záporná">
      <formula>NOT(ISERROR(SEARCH("Záporná",C5)))</formula>
    </cfRule>
    <cfRule type="containsText" dxfId="77" priority="38" operator="containsText" text="Zlepšující">
      <formula>NOT(ISERROR(SEARCH("Zlepšující",C5)))</formula>
    </cfRule>
    <cfRule type="containsText" dxfId="76" priority="37" operator="containsText" text="Vyrovnaná">
      <formula>NOT(ISERROR(SEARCH("Vyrovnaná",C5)))</formula>
    </cfRule>
    <cfRule type="containsText" dxfId="75" priority="36" operator="containsText" text="Zlepšující">
      <formula>NOT(ISERROR(SEARCH("Zlepšující",C5)))</formula>
    </cfRule>
    <cfRule type="containsText" dxfId="74" priority="35" operator="containsText" text="Zlepšující">
      <formula>NOT(ISERROR(SEARCH("Zlepšující",C5)))</formula>
    </cfRule>
    <cfRule type="containsText" dxfId="73" priority="40" operator="containsText" text="Vyrovnaná">
      <formula>NOT(ISERROR(SEARCH("Vyrovnaná",C5)))</formula>
    </cfRule>
  </conditionalFormatting>
  <conditionalFormatting sqref="C10">
    <cfRule type="cellIs" dxfId="72" priority="17" operator="lessThan">
      <formula>0</formula>
    </cfRule>
  </conditionalFormatting>
  <conditionalFormatting sqref="C20">
    <cfRule type="containsText" dxfId="71" priority="6" operator="containsText" text="↓">
      <formula>NOT(ISERROR(SEARCH("↓",C20)))</formula>
    </cfRule>
  </conditionalFormatting>
  <conditionalFormatting sqref="C39">
    <cfRule type="containsText" dxfId="70" priority="5" operator="containsText" text="↓">
      <formula>NOT(ISERROR(SEARCH("↓",C39)))</formula>
    </cfRule>
  </conditionalFormatting>
  <conditionalFormatting sqref="D6:E6">
    <cfRule type="containsText" dxfId="69" priority="27" operator="containsText" text="Nesplňuje">
      <formula>NOT(ISERROR(SEARCH("Nesplňuje",D6)))</formula>
    </cfRule>
  </conditionalFormatting>
  <conditionalFormatting sqref="F7:F8">
    <cfRule type="cellIs" dxfId="68" priority="24" operator="lessThan">
      <formula>0</formula>
    </cfRule>
  </conditionalFormatting>
  <conditionalFormatting sqref="F3:G3">
    <cfRule type="containsText" dxfId="67" priority="3" operator="containsText" text="uživatele">
      <formula>NOT(ISERROR(SEARCH("uživatele",F3)))</formula>
    </cfRule>
    <cfRule type="containsText" dxfId="66" priority="4" operator="containsText" text="prosíme vyplnit IČO">
      <formula>NOT(ISERROR(SEARCH("prosíme vyplnit IČO",F3)))</formula>
    </cfRule>
  </conditionalFormatting>
  <conditionalFormatting sqref="G4:G6 I5:L5 H6:L6 G8">
    <cfRule type="containsText" dxfId="65" priority="23" operator="containsText" text="Nesplňuje">
      <formula>NOT(ISERROR(SEARCH("Nesplňuje",G4)))</formula>
    </cfRule>
  </conditionalFormatting>
  <conditionalFormatting sqref="G4:G6">
    <cfRule type="containsText" dxfId="64" priority="30" operator="containsText" text="Splňuje">
      <formula>NOT(ISERROR(SEARCH("Splňuje",G4)))</formula>
    </cfRule>
    <cfRule type="containsText" dxfId="63" priority="31" operator="containsText" text="Nesplňuje">
      <formula>NOT(ISERROR(SEARCH("Nesplňuje",G4)))</formula>
    </cfRule>
  </conditionalFormatting>
  <conditionalFormatting sqref="G7">
    <cfRule type="containsText" dxfId="62" priority="20" operator="containsText" text="Splňuje">
      <formula>NOT(ISERROR(SEARCH("Splňuje",G7)))</formula>
    </cfRule>
    <cfRule type="containsText" dxfId="61" priority="19" operator="containsText" text="Nesplňuje">
      <formula>NOT(ISERROR(SEARCH("Nesplňuje",G7)))</formula>
    </cfRule>
  </conditionalFormatting>
  <conditionalFormatting sqref="G7:G8">
    <cfRule type="containsText" dxfId="60" priority="21" operator="containsText" text="Nesplňuje">
      <formula>NOT(ISERROR(SEARCH("Nesplňuje",G7)))</formula>
    </cfRule>
  </conditionalFormatting>
  <conditionalFormatting sqref="G8 G4 I5:L5 H6:L6">
    <cfRule type="containsText" dxfId="59" priority="22" operator="containsText" text="Splňuje">
      <formula>NOT(ISERROR(SEARCH("Splňuje",G4)))</formula>
    </cfRule>
  </conditionalFormatting>
  <conditionalFormatting sqref="G9">
    <cfRule type="containsText" dxfId="58" priority="18" operator="containsText" text="sankc">
      <formula>NOT(ISERROR(SEARCH("sankc",G9)))</formula>
    </cfRule>
    <cfRule type="containsText" dxfId="57" priority="14" operator="containsText" text="podmínka splněna">
      <formula>NOT(ISERROR(SEARCH("podmínka splněna",G9)))</formula>
    </cfRule>
    <cfRule type="containsText" dxfId="56" priority="11" operator="containsText" text="snížení">
      <formula>NOT(ISERROR(SEARCH("snížení",G9)))</formula>
    </cfRule>
    <cfRule type="containsText" dxfId="55" priority="10" operator="containsText" text="splněna">
      <formula>NOT(ISERROR(SEARCH("splněna",G9)))</formula>
    </cfRule>
    <cfRule type="containsText" dxfId="54" priority="9" operator="containsText" text="neposkytne">
      <formula>NOT(ISERROR(SEARCH("neposkytne",G9)))</formula>
    </cfRule>
  </conditionalFormatting>
  <conditionalFormatting sqref="I1 C4 I4:K4 D6:E6">
    <cfRule type="containsText" dxfId="53" priority="42" operator="containsText" text="Splňuje">
      <formula>NOT(ISERROR(SEARCH("Splňuje",C1)))</formula>
    </cfRule>
    <cfRule type="containsText" dxfId="52" priority="43" operator="containsText" text="Nesplňuje">
      <formula>NOT(ISERROR(SEARCH("Nesplňuje",C1)))</formula>
    </cfRule>
  </conditionalFormatting>
  <conditionalFormatting sqref="P4">
    <cfRule type="cellIs" dxfId="51" priority="32" operator="lessThan">
      <formula>0</formula>
    </cfRule>
  </conditionalFormatting>
  <conditionalFormatting sqref="P59">
    <cfRule type="cellIs" dxfId="50" priority="28" operator="lessThan">
      <formula>0</formula>
    </cfRule>
  </conditionalFormatting>
  <pageMargins left="0.31496062992125984" right="0.31496062992125984" top="0.59055118110236227" bottom="0.59055118110236227" header="0.31496062992125984" footer="0.31496062992125984"/>
  <pageSetup paperSize="9" scale="66" fitToWidth="0" orientation="landscape" horizontalDpi="4294967292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B8B89E-6B64-4581-9AE4-7C7BF2DE7400}">
  <sheetPr>
    <tabColor theme="6" tint="0.39997558519241921"/>
    <pageSetUpPr fitToPage="1"/>
  </sheetPr>
  <dimension ref="B1:AE64"/>
  <sheetViews>
    <sheetView showGridLines="0" showZeros="0" zoomScale="90" zoomScaleNormal="90" workbookViewId="0">
      <pane xSplit="3" ySplit="6" topLeftCell="D7" activePane="bottomRight" state="frozen"/>
      <selection pane="topRight" activeCell="D1" sqref="D1"/>
      <selection pane="bottomLeft" activeCell="A7" sqref="A7"/>
      <selection pane="bottomRight" activeCell="C9" sqref="C9"/>
    </sheetView>
  </sheetViews>
  <sheetFormatPr defaultRowHeight="15" x14ac:dyDescent="0.25"/>
  <cols>
    <col min="1" max="1" width="0.5703125" customWidth="1"/>
    <col min="2" max="2" width="59.42578125" customWidth="1"/>
    <col min="3" max="3" width="13" customWidth="1"/>
    <col min="4" max="4" width="82.28515625" customWidth="1"/>
    <col min="5" max="5" width="3.7109375" customWidth="1"/>
    <col min="6" max="6" width="32.28515625" customWidth="1"/>
    <col min="7" max="7" width="40.140625" customWidth="1"/>
    <col min="8" max="9" width="7.85546875" customWidth="1"/>
    <col min="10" max="10" width="15.85546875" customWidth="1"/>
    <col min="11" max="11" width="76" customWidth="1"/>
    <col min="12" max="12" width="53.42578125" customWidth="1"/>
    <col min="13" max="13" width="15.42578125" customWidth="1"/>
    <col min="14" max="14" width="25.5703125" customWidth="1"/>
    <col min="15" max="15" width="21.140625" customWidth="1"/>
    <col min="16" max="16" width="24.5703125" customWidth="1"/>
    <col min="17" max="17" width="20.5703125" customWidth="1"/>
    <col min="18" max="18" width="26.5703125" customWidth="1"/>
    <col min="19" max="19" width="9.5703125" customWidth="1"/>
    <col min="20" max="20" width="16.5703125" customWidth="1"/>
    <col min="21" max="21" width="22.5703125" customWidth="1"/>
    <col min="22" max="22" width="17.5703125" customWidth="1"/>
    <col min="24" max="24" width="9" customWidth="1"/>
    <col min="25" max="25" width="9.140625" customWidth="1"/>
    <col min="26" max="26" width="12.42578125" bestFit="1" customWidth="1"/>
    <col min="27" max="27" width="20.140625" customWidth="1"/>
  </cols>
  <sheetData>
    <row r="1" spans="2:22" ht="20.100000000000001" customHeight="1" x14ac:dyDescent="0.3">
      <c r="B1" s="979" t="s">
        <v>582</v>
      </c>
      <c r="C1" s="979"/>
      <c r="D1" s="979"/>
      <c r="E1" s="403"/>
      <c r="F1" s="404" t="s">
        <v>469</v>
      </c>
      <c r="G1" s="405">
        <f>'P24'!E2</f>
        <v>0</v>
      </c>
      <c r="I1" s="406" t="s">
        <v>461</v>
      </c>
      <c r="J1" s="407"/>
      <c r="M1" s="408"/>
      <c r="N1" s="953" t="s">
        <v>347</v>
      </c>
      <c r="O1" s="953"/>
      <c r="P1" s="409">
        <f>IF(C8=0,0,P9)</f>
        <v>0</v>
      </c>
      <c r="Q1" s="410" t="str">
        <f>N2</f>
        <v>Plnění:</v>
      </c>
      <c r="R1" s="410" t="str">
        <f>N1</f>
        <v>Potřeba:</v>
      </c>
      <c r="S1" s="4"/>
    </row>
    <row r="2" spans="2:22" ht="17.25" customHeight="1" x14ac:dyDescent="0.25">
      <c r="B2" s="411" t="s">
        <v>73</v>
      </c>
      <c r="C2" s="954">
        <f>'P24'!G2</f>
        <v>0</v>
      </c>
      <c r="D2" s="955"/>
      <c r="E2" s="223"/>
      <c r="F2" s="404" t="s">
        <v>346</v>
      </c>
      <c r="G2" s="405">
        <f>'P24'!E4</f>
        <v>0</v>
      </c>
      <c r="I2" s="412"/>
      <c r="J2" s="412"/>
      <c r="K2" s="413"/>
      <c r="L2" s="412"/>
      <c r="N2" s="956" t="s">
        <v>348</v>
      </c>
      <c r="O2" s="956"/>
      <c r="P2" s="414">
        <f>IF(C8=0,0,P58)</f>
        <v>0</v>
      </c>
      <c r="Q2" s="415">
        <f>P2</f>
        <v>0</v>
      </c>
      <c r="R2" s="415">
        <f>P1</f>
        <v>0</v>
      </c>
      <c r="S2" s="4"/>
    </row>
    <row r="3" spans="2:22" ht="14.25" customHeight="1" x14ac:dyDescent="0.25">
      <c r="B3" s="416"/>
      <c r="C3" s="416"/>
      <c r="F3" s="417" t="s">
        <v>325</v>
      </c>
      <c r="G3" s="418"/>
      <c r="H3" s="419"/>
      <c r="I3" s="419"/>
      <c r="J3" s="419"/>
      <c r="K3" s="419"/>
      <c r="L3" s="419"/>
      <c r="N3" s="312"/>
      <c r="O3" s="312"/>
      <c r="P3" s="420"/>
    </row>
    <row r="4" spans="2:22" ht="15.75" customHeight="1" x14ac:dyDescent="0.25">
      <c r="B4" s="411" t="s">
        <v>349</v>
      </c>
      <c r="C4" s="421" t="str">
        <f>IF(C8=0,"",IF(P4&lt;0,"nesplněna","splněna"))</f>
        <v/>
      </c>
      <c r="D4" s="419"/>
      <c r="E4" s="419"/>
      <c r="F4" s="422" t="str">
        <f>IF(G4&gt;0,"Rozsah provedených opatření (ha)","")</f>
        <v/>
      </c>
      <c r="G4" s="423">
        <f>P2*C8</f>
        <v>0</v>
      </c>
      <c r="I4" s="424"/>
      <c r="J4" s="424"/>
      <c r="K4" s="424"/>
      <c r="N4" s="957" t="s">
        <v>350</v>
      </c>
      <c r="O4" s="957"/>
      <c r="P4" s="425">
        <f>IF(C8=0,0,(P2-P1))</f>
        <v>0</v>
      </c>
      <c r="R4" s="949" t="s">
        <v>351</v>
      </c>
    </row>
    <row r="5" spans="2:22" ht="15.95" customHeight="1" x14ac:dyDescent="0.25">
      <c r="B5" s="411" t="s">
        <v>352</v>
      </c>
      <c r="C5" s="421" t="str">
        <f>IF(C8=0,"",IF(R59&lt;0,"záporná",IF(R59&lt;0.5,"vyrovnaná","zlepšující")))</f>
        <v/>
      </c>
      <c r="D5" s="427"/>
      <c r="E5" s="427"/>
      <c r="F5" s="422" t="str">
        <f>IF(G5=0,"","Rozsah potřebných opatření (ha)")</f>
        <v/>
      </c>
      <c r="G5" s="423">
        <f>IF(P1&gt;0,P1*C8,0)</f>
        <v>0</v>
      </c>
      <c r="I5" s="424"/>
      <c r="J5" s="424"/>
      <c r="K5" s="424"/>
      <c r="L5" s="424"/>
      <c r="M5" s="5"/>
      <c r="N5" s="5"/>
      <c r="O5" s="5"/>
      <c r="P5" s="428"/>
      <c r="Q5" s="428"/>
      <c r="R5" s="949"/>
    </row>
    <row r="6" spans="2:22" ht="15.75" customHeight="1" x14ac:dyDescent="0.25">
      <c r="B6" s="958" t="s">
        <v>562</v>
      </c>
      <c r="C6" s="958"/>
      <c r="D6" s="429"/>
      <c r="E6" s="429"/>
      <c r="F6" s="422" t="s">
        <v>575</v>
      </c>
      <c r="G6" s="423">
        <f>G4-G5</f>
        <v>0</v>
      </c>
      <c r="H6" s="429"/>
      <c r="I6" s="429"/>
      <c r="J6" s="429"/>
      <c r="K6" s="429"/>
      <c r="L6" s="429"/>
      <c r="M6" s="412"/>
      <c r="N6" s="412"/>
      <c r="O6" s="419"/>
      <c r="P6" s="428"/>
      <c r="Q6" s="428"/>
      <c r="R6" s="949"/>
      <c r="S6" s="430"/>
      <c r="T6" s="429"/>
      <c r="U6" s="419"/>
    </row>
    <row r="7" spans="2:22" ht="13.5" customHeight="1" x14ac:dyDescent="0.25">
      <c r="B7" s="431" t="s">
        <v>583</v>
      </c>
      <c r="C7" s="432" t="s">
        <v>280</v>
      </c>
      <c r="D7" s="433"/>
      <c r="E7" s="433"/>
      <c r="F7" s="434" t="str">
        <f>IF(G7="","",IF(G5=0,"",IF(G4=0,"","plnění")))</f>
        <v/>
      </c>
      <c r="G7" s="435" t="str">
        <f>IF(C8=0,"",IF(G5=0,"",IF(G4/G5&gt;1,"",IF(G4=0,0,G4/G5))))</f>
        <v/>
      </c>
      <c r="I7" s="433"/>
      <c r="J7" s="433"/>
      <c r="K7" s="433"/>
      <c r="L7" s="433"/>
      <c r="M7" s="436"/>
      <c r="N7" s="436"/>
      <c r="P7" s="950" t="s">
        <v>354</v>
      </c>
      <c r="Q7" s="951"/>
      <c r="R7" s="949"/>
      <c r="S7" s="437"/>
    </row>
    <row r="8" spans="2:22" ht="12.95" customHeight="1" thickBot="1" x14ac:dyDescent="0.3">
      <c r="B8" s="438" t="s">
        <v>355</v>
      </c>
      <c r="C8" s="439">
        <f>'P26'!D3</f>
        <v>0</v>
      </c>
      <c r="D8" s="440" t="s">
        <v>584</v>
      </c>
      <c r="E8" s="441"/>
      <c r="F8" s="126" t="str">
        <f>IF(G8=0,"","neplnění")</f>
        <v/>
      </c>
      <c r="G8" s="442">
        <f>IF(C8=0,0,IF(P4&lt;0,IF(G7&lt;100%,IF(G5&lt;0,0,1-G7),0),0))</f>
        <v>0</v>
      </c>
      <c r="I8" s="443"/>
      <c r="J8" s="443"/>
      <c r="K8" s="443"/>
      <c r="L8" s="443"/>
      <c r="M8" s="967" t="s">
        <v>357</v>
      </c>
      <c r="N8" s="967"/>
      <c r="O8" s="967"/>
      <c r="P8" s="445" t="str">
        <f>IF(C8=0,"",(35%*C10+30%*(C9+C11))/C8)</f>
        <v/>
      </c>
      <c r="Q8" s="446" t="str">
        <f>IF(C8=0,"",C8*P8)</f>
        <v/>
      </c>
      <c r="R8" s="447" t="str">
        <f>IF(C$8=0,"",((30*0.165)*Q8)/C$8)</f>
        <v/>
      </c>
      <c r="V8" s="99"/>
    </row>
    <row r="9" spans="2:22" ht="13.7" customHeight="1" thickBot="1" x14ac:dyDescent="0.3">
      <c r="B9" s="448" t="s">
        <v>358</v>
      </c>
      <c r="C9" s="222"/>
      <c r="D9" s="968" t="s">
        <v>359</v>
      </c>
      <c r="E9" s="450"/>
      <c r="F9" s="451"/>
      <c r="G9" s="452" t="str">
        <f>IF(C8=0,"",IF(P1&lt;0,"podmínka splněna",IF(G7=100%,"podmínka splněna",IF(G7&gt;100%,"podmínka splněna",IF(G8&gt;15%,IF(G8&gt;25%,IF(G8&gt;50%,"ekoplatba se neposkytne","snížení ekoplatby o 50 %"),"snížení ekoplatby o 10 %"),"snížení ekoplatby o 5 %")))))</f>
        <v/>
      </c>
      <c r="H9" s="453"/>
      <c r="I9" s="453"/>
      <c r="J9" s="453"/>
      <c r="K9" s="453"/>
      <c r="L9" s="453"/>
      <c r="M9" s="970" t="s">
        <v>360</v>
      </c>
      <c r="N9" s="970"/>
      <c r="O9" s="971"/>
      <c r="P9" s="454" t="str">
        <f>P20</f>
        <v/>
      </c>
      <c r="Q9" s="455" t="str">
        <f>Q20</f>
        <v/>
      </c>
      <c r="R9" s="456" t="str">
        <f>R20</f>
        <v/>
      </c>
      <c r="V9" s="457"/>
    </row>
    <row r="10" spans="2:22" ht="13.7" customHeight="1" thickBot="1" x14ac:dyDescent="0.3">
      <c r="B10" s="438" t="s">
        <v>455</v>
      </c>
      <c r="C10" s="458">
        <f>C8-C9-C11</f>
        <v>0</v>
      </c>
      <c r="D10" s="969"/>
      <c r="E10" s="450"/>
      <c r="F10" s="972" t="s">
        <v>361</v>
      </c>
      <c r="G10" s="972"/>
      <c r="H10" s="453"/>
      <c r="I10" s="453"/>
      <c r="J10" s="453"/>
      <c r="K10" s="453"/>
      <c r="L10" s="453"/>
      <c r="M10" s="459"/>
      <c r="N10" s="459"/>
      <c r="O10" s="459"/>
      <c r="P10" s="460"/>
      <c r="Q10" s="461"/>
      <c r="R10" s="462"/>
      <c r="V10" s="457"/>
    </row>
    <row r="11" spans="2:22" ht="13.7" customHeight="1" thickBot="1" x14ac:dyDescent="0.3">
      <c r="B11" s="448" t="s">
        <v>456</v>
      </c>
      <c r="C11" s="222"/>
      <c r="D11" s="968"/>
      <c r="E11" s="450"/>
      <c r="F11" s="972"/>
      <c r="G11" s="972"/>
      <c r="H11" s="453"/>
      <c r="I11" s="453"/>
      <c r="J11" s="453"/>
      <c r="K11" s="453"/>
      <c r="L11" s="453"/>
      <c r="M11" s="419"/>
      <c r="N11" s="463"/>
      <c r="O11" s="464"/>
      <c r="P11" s="465"/>
      <c r="Q11" s="466"/>
      <c r="R11" s="467"/>
      <c r="V11" s="457"/>
    </row>
    <row r="12" spans="2:22" ht="6" customHeight="1" x14ac:dyDescent="0.25">
      <c r="B12" s="468"/>
      <c r="C12" s="469"/>
      <c r="D12" s="470"/>
      <c r="E12" s="470"/>
      <c r="F12" s="972"/>
      <c r="G12" s="972"/>
      <c r="H12" s="471"/>
      <c r="I12" s="471"/>
      <c r="J12" s="471"/>
      <c r="K12" s="471"/>
      <c r="L12" s="471"/>
      <c r="M12" s="5"/>
      <c r="N12" s="5"/>
      <c r="O12" s="5"/>
      <c r="R12" s="472"/>
      <c r="S12" s="473"/>
      <c r="T12" s="99"/>
      <c r="U12" s="99"/>
      <c r="V12" s="99"/>
    </row>
    <row r="13" spans="2:22" ht="14.45" customHeight="1" thickBot="1" x14ac:dyDescent="0.3">
      <c r="B13" s="474" t="s">
        <v>601</v>
      </c>
      <c r="C13" s="475" t="s">
        <v>280</v>
      </c>
      <c r="D13" s="440" t="s">
        <v>585</v>
      </c>
      <c r="E13" s="441"/>
      <c r="F13" s="476" t="s">
        <v>363</v>
      </c>
      <c r="G13" s="476" t="s">
        <v>364</v>
      </c>
      <c r="H13" s="973"/>
      <c r="I13" s="973"/>
      <c r="J13" s="973"/>
      <c r="K13" s="477"/>
      <c r="L13" s="474" t="str">
        <f>B13</f>
        <v>Vybrané plodiny (JŽ, květen 2026) – z listu "P26"</v>
      </c>
      <c r="M13" s="109" t="s">
        <v>365</v>
      </c>
      <c r="N13" s="109" t="s">
        <v>366</v>
      </c>
      <c r="O13" s="974" t="s">
        <v>367</v>
      </c>
      <c r="P13" s="960" t="s">
        <v>368</v>
      </c>
      <c r="Q13" s="960"/>
      <c r="R13" s="426" t="s">
        <v>369</v>
      </c>
      <c r="V13" s="99"/>
    </row>
    <row r="14" spans="2:22" ht="14.45" customHeight="1" x14ac:dyDescent="0.25">
      <c r="B14" s="448" t="s">
        <v>421</v>
      </c>
      <c r="C14" s="220"/>
      <c r="D14" s="449"/>
      <c r="E14" s="450"/>
      <c r="F14" s="478" t="s">
        <v>370</v>
      </c>
      <c r="G14" s="479" t="s">
        <v>371</v>
      </c>
      <c r="H14" s="973"/>
      <c r="I14" s="973"/>
      <c r="J14" s="973"/>
      <c r="K14" s="477"/>
      <c r="L14" s="480" t="s">
        <v>372</v>
      </c>
      <c r="M14" s="481">
        <v>0.45</v>
      </c>
      <c r="N14" s="482">
        <f t="shared" ref="N14:N15" si="0">IF(C$8=0,0,C14/C$8)</f>
        <v>0</v>
      </c>
      <c r="O14" s="975"/>
      <c r="P14" s="483">
        <f t="shared" ref="P14:P19" si="1">IF($N14=0,0,$N14*M14)</f>
        <v>0</v>
      </c>
      <c r="Q14" s="484">
        <f t="shared" ref="Q14:Q19" si="2">C14*M14</f>
        <v>0</v>
      </c>
      <c r="R14" s="447" t="str">
        <f t="shared" ref="R14:R20" si="3">IF(C$8=0,"",((30*0.165)*Q14)/C$8)</f>
        <v/>
      </c>
      <c r="V14" s="99"/>
    </row>
    <row r="15" spans="2:22" ht="14.45" customHeight="1" thickBot="1" x14ac:dyDescent="0.3">
      <c r="B15" s="448" t="s">
        <v>420</v>
      </c>
      <c r="C15" s="221"/>
      <c r="D15" s="449"/>
      <c r="E15" s="450"/>
      <c r="F15" s="478" t="s">
        <v>374</v>
      </c>
      <c r="G15" s="479" t="s">
        <v>375</v>
      </c>
      <c r="H15" s="973"/>
      <c r="I15" s="973"/>
      <c r="J15" s="973"/>
      <c r="K15" s="477"/>
      <c r="L15" s="480" t="s">
        <v>373</v>
      </c>
      <c r="M15" s="481">
        <v>0.25</v>
      </c>
      <c r="N15" s="482">
        <f t="shared" si="0"/>
        <v>0</v>
      </c>
      <c r="O15" s="975"/>
      <c r="P15" s="483">
        <f t="shared" si="1"/>
        <v>0</v>
      </c>
      <c r="Q15" s="484">
        <f t="shared" si="2"/>
        <v>0</v>
      </c>
      <c r="R15" s="447" t="str">
        <f t="shared" si="3"/>
        <v/>
      </c>
      <c r="V15" s="99"/>
    </row>
    <row r="16" spans="2:22" ht="14.45" customHeight="1" x14ac:dyDescent="0.25">
      <c r="B16" s="438" t="s">
        <v>418</v>
      </c>
      <c r="C16" s="485">
        <f>'P26'!D88</f>
        <v>0</v>
      </c>
      <c r="D16" s="486"/>
      <c r="E16" s="450"/>
      <c r="F16" s="478" t="s">
        <v>377</v>
      </c>
      <c r="G16" s="479" t="s">
        <v>378</v>
      </c>
      <c r="H16" s="973"/>
      <c r="I16" s="973"/>
      <c r="J16" s="973"/>
      <c r="K16" s="477"/>
      <c r="L16" s="480" t="s">
        <v>372</v>
      </c>
      <c r="M16" s="481">
        <v>0.45</v>
      </c>
      <c r="N16" s="482">
        <f>IF(C$8=0,0,C16/C$8)</f>
        <v>0</v>
      </c>
      <c r="O16" s="975"/>
      <c r="P16" s="483">
        <f t="shared" si="1"/>
        <v>0</v>
      </c>
      <c r="Q16" s="484">
        <f t="shared" si="2"/>
        <v>0</v>
      </c>
      <c r="R16" s="447" t="str">
        <f t="shared" si="3"/>
        <v/>
      </c>
      <c r="V16" s="99"/>
    </row>
    <row r="17" spans="2:31" ht="14.45" customHeight="1" x14ac:dyDescent="0.25">
      <c r="B17" s="438" t="s">
        <v>419</v>
      </c>
      <c r="C17" s="485">
        <f>'P26'!D89</f>
        <v>0</v>
      </c>
      <c r="D17" s="486"/>
      <c r="E17" s="450"/>
      <c r="F17" s="487" t="s">
        <v>380</v>
      </c>
      <c r="G17" s="488" t="s">
        <v>381</v>
      </c>
      <c r="H17" s="973"/>
      <c r="I17" s="973"/>
      <c r="J17" s="973"/>
      <c r="K17" s="477"/>
      <c r="L17" s="480" t="s">
        <v>373</v>
      </c>
      <c r="M17" s="481">
        <v>0.25</v>
      </c>
      <c r="N17" s="482">
        <f>IF(C$8=0,0,C17/C$8)</f>
        <v>0</v>
      </c>
      <c r="O17" s="975"/>
      <c r="P17" s="483">
        <f t="shared" si="1"/>
        <v>0</v>
      </c>
      <c r="Q17" s="484">
        <f t="shared" si="2"/>
        <v>0</v>
      </c>
      <c r="R17" s="447" t="str">
        <f t="shared" si="3"/>
        <v/>
      </c>
      <c r="V17" s="99"/>
    </row>
    <row r="18" spans="2:31" ht="14.45" customHeight="1" x14ac:dyDescent="0.25">
      <c r="B18" s="438" t="s">
        <v>292</v>
      </c>
      <c r="C18" s="485">
        <f>'P26'!D90</f>
        <v>0</v>
      </c>
      <c r="D18" s="486" t="s">
        <v>422</v>
      </c>
      <c r="E18" s="450"/>
      <c r="F18" s="961" t="s">
        <v>382</v>
      </c>
      <c r="G18" s="962"/>
      <c r="H18" s="973"/>
      <c r="I18" s="973"/>
      <c r="J18" s="973"/>
      <c r="K18" s="477"/>
      <c r="L18" s="480" t="s">
        <v>376</v>
      </c>
      <c r="M18" s="481">
        <v>-0.9</v>
      </c>
      <c r="N18" s="482">
        <f>IF(C$8=0,0,C18/C$8)</f>
        <v>0</v>
      </c>
      <c r="O18" s="975"/>
      <c r="P18" s="483">
        <f t="shared" si="1"/>
        <v>0</v>
      </c>
      <c r="Q18" s="484">
        <f t="shared" si="2"/>
        <v>0</v>
      </c>
      <c r="R18" s="447" t="str">
        <f t="shared" si="3"/>
        <v/>
      </c>
      <c r="V18" s="99"/>
    </row>
    <row r="19" spans="2:31" ht="14.45" customHeight="1" x14ac:dyDescent="0.25">
      <c r="B19" s="438" t="s">
        <v>424</v>
      </c>
      <c r="C19" s="485">
        <f>'P26'!D91</f>
        <v>0</v>
      </c>
      <c r="D19" s="486" t="s">
        <v>423</v>
      </c>
      <c r="E19" s="450"/>
      <c r="F19" s="964" t="s">
        <v>384</v>
      </c>
      <c r="G19" s="964"/>
      <c r="H19" s="973"/>
      <c r="I19" s="973"/>
      <c r="J19" s="973"/>
      <c r="K19" s="477"/>
      <c r="L19" s="480" t="s">
        <v>379</v>
      </c>
      <c r="M19" s="481">
        <v>-0.7</v>
      </c>
      <c r="N19" s="482">
        <f>IF(C$8=0,0,C19/C$8)</f>
        <v>0</v>
      </c>
      <c r="O19" s="976"/>
      <c r="P19" s="483">
        <f t="shared" si="1"/>
        <v>0</v>
      </c>
      <c r="Q19" s="484">
        <f t="shared" si="2"/>
        <v>0</v>
      </c>
      <c r="R19" s="447" t="str">
        <f t="shared" si="3"/>
        <v/>
      </c>
      <c r="V19" s="99"/>
    </row>
    <row r="20" spans="2:31" ht="12.75" customHeight="1" x14ac:dyDescent="0.25">
      <c r="B20" s="489" t="str">
        <f>IF(G8=100%,"doplňte rozsah opatření (jinak zůstane 100% neplnění):","")</f>
        <v/>
      </c>
      <c r="C20" s="490" t="str">
        <f>IF(G8=100%,"↓","")</f>
        <v/>
      </c>
      <c r="D20" s="491"/>
      <c r="E20" s="491"/>
      <c r="F20" s="965" t="s">
        <v>390</v>
      </c>
      <c r="G20" s="965"/>
      <c r="H20" s="492"/>
      <c r="I20" s="963"/>
      <c r="J20" s="963"/>
      <c r="K20" s="493"/>
      <c r="O20" s="312" t="s">
        <v>383</v>
      </c>
      <c r="P20" s="494" t="str">
        <f>IF(C8=0,"",P8+SUM(P14:P19))</f>
        <v/>
      </c>
      <c r="Q20" s="495" t="str">
        <f>IF(C8=0,"",Q8+SUM(Q14:Q19))</f>
        <v/>
      </c>
      <c r="R20" s="496" t="str">
        <f t="shared" si="3"/>
        <v/>
      </c>
      <c r="S20" s="497"/>
    </row>
    <row r="21" spans="2:31" ht="3" customHeight="1" x14ac:dyDescent="0.25">
      <c r="B21" s="5"/>
      <c r="C21" s="5"/>
      <c r="D21" s="498"/>
      <c r="E21" s="498"/>
      <c r="H21" s="5"/>
      <c r="I21" s="963"/>
      <c r="J21" s="963"/>
      <c r="K21" s="493"/>
      <c r="L21" s="5"/>
      <c r="M21" s="5"/>
      <c r="N21" s="5"/>
      <c r="O21" s="5"/>
      <c r="R21" s="472"/>
    </row>
    <row r="22" spans="2:31" ht="13.5" customHeight="1" x14ac:dyDescent="0.25">
      <c r="B22" s="499" t="s">
        <v>586</v>
      </c>
      <c r="C22" s="672">
        <f>SUM(C23:C38)</f>
        <v>0</v>
      </c>
      <c r="D22" s="673" t="s">
        <v>612</v>
      </c>
      <c r="E22" s="441"/>
      <c r="H22" s="500"/>
      <c r="I22" s="500"/>
      <c r="J22" s="500"/>
      <c r="K22" s="433"/>
      <c r="L22" s="501" t="str">
        <f>B22</f>
        <v>Dodání organické hmoty do půdy (2025/2026) – z listu "O24-26"</v>
      </c>
      <c r="M22" s="109" t="s">
        <v>365</v>
      </c>
      <c r="N22" s="109" t="s">
        <v>385</v>
      </c>
      <c r="O22" s="109" t="s">
        <v>386</v>
      </c>
      <c r="P22" s="109"/>
      <c r="Q22" s="502" t="s">
        <v>387</v>
      </c>
      <c r="R22" s="503" t="s">
        <v>388</v>
      </c>
      <c r="S22" s="504" t="s">
        <v>389</v>
      </c>
      <c r="V22" s="505"/>
      <c r="W22" s="505"/>
      <c r="X22" s="505"/>
      <c r="Y22" s="505"/>
      <c r="Z22" s="505"/>
      <c r="AA22" s="505"/>
    </row>
    <row r="23" spans="2:31" ht="12.95" hidden="1" customHeight="1" x14ac:dyDescent="0.25">
      <c r="B23" s="506" t="s">
        <v>462</v>
      </c>
      <c r="C23" s="507">
        <f>'O24-26'!G79</f>
        <v>0</v>
      </c>
      <c r="D23" s="508"/>
      <c r="E23" s="509"/>
      <c r="G23" s="966"/>
      <c r="H23" s="5"/>
      <c r="I23" s="510"/>
      <c r="J23" s="510"/>
      <c r="K23" s="465"/>
      <c r="L23" s="175" t="str">
        <f>B23</f>
        <v>Hnůj, separát kejdy – řádky s dalšími hnojivy jsou skryty...</v>
      </c>
      <c r="M23" s="481">
        <v>1</v>
      </c>
      <c r="N23" s="511">
        <v>30</v>
      </c>
      <c r="O23" s="483">
        <v>0.22</v>
      </c>
      <c r="P23" s="483">
        <f>J23</f>
        <v>0</v>
      </c>
      <c r="Q23" s="484">
        <f>(C23/N23)*M23</f>
        <v>0</v>
      </c>
      <c r="R23" s="447" t="str">
        <f t="shared" ref="R23:R38" si="4">IF(C$8=0,"",((30*0.165)*Q23)/C$8)</f>
        <v/>
      </c>
      <c r="V23" s="512"/>
      <c r="W23" s="513"/>
      <c r="X23" s="514"/>
      <c r="Y23" s="515"/>
      <c r="Z23" s="516"/>
      <c r="AA23" s="514"/>
    </row>
    <row r="24" spans="2:31" ht="12.95" hidden="1" customHeight="1" x14ac:dyDescent="0.25">
      <c r="B24" s="506" t="s">
        <v>302</v>
      </c>
      <c r="C24" s="507">
        <f>'O24-26'!G80</f>
        <v>0</v>
      </c>
      <c r="D24" s="508"/>
      <c r="E24" s="509"/>
      <c r="G24" s="966"/>
      <c r="H24" s="5"/>
      <c r="I24" s="510"/>
      <c r="J24" s="510"/>
      <c r="K24" s="465"/>
      <c r="L24" s="175" t="str">
        <f t="shared" ref="L24:L38" si="5">B24</f>
        <v>Separát digestátu, tuhý digestát</v>
      </c>
      <c r="M24" s="481">
        <v>0.75</v>
      </c>
      <c r="N24" s="511">
        <v>25</v>
      </c>
      <c r="O24" s="483">
        <v>0.23</v>
      </c>
      <c r="P24" s="483">
        <f t="shared" ref="P24:P38" si="6">J24</f>
        <v>0</v>
      </c>
      <c r="Q24" s="484">
        <f t="shared" ref="Q24:Q38" si="7">(C24/N24)*M24</f>
        <v>0</v>
      </c>
      <c r="R24" s="447" t="str">
        <f t="shared" si="4"/>
        <v/>
      </c>
      <c r="V24" s="512"/>
      <c r="W24" s="513"/>
      <c r="X24" s="514"/>
      <c r="Y24" s="515"/>
      <c r="Z24" s="516"/>
      <c r="AA24" s="514"/>
    </row>
    <row r="25" spans="2:31" ht="12.95" hidden="1" customHeight="1" x14ac:dyDescent="0.25">
      <c r="B25" s="506" t="s">
        <v>303</v>
      </c>
      <c r="C25" s="507">
        <f>'O24-26'!G81</f>
        <v>0</v>
      </c>
      <c r="D25" s="508"/>
      <c r="E25" s="509"/>
      <c r="G25" s="966"/>
      <c r="H25" s="5"/>
      <c r="I25" s="510"/>
      <c r="J25" s="510"/>
      <c r="K25" s="465"/>
      <c r="L25" s="175" t="str">
        <f t="shared" si="5"/>
        <v>Kompost s poměrem C:N 10 a vyšším</v>
      </c>
      <c r="M25" s="481">
        <v>1</v>
      </c>
      <c r="N25" s="511">
        <v>15</v>
      </c>
      <c r="O25" s="483">
        <v>0.4</v>
      </c>
      <c r="P25" s="483">
        <f t="shared" si="6"/>
        <v>0</v>
      </c>
      <c r="Q25" s="484">
        <f t="shared" si="7"/>
        <v>0</v>
      </c>
      <c r="R25" s="447" t="str">
        <f t="shared" si="4"/>
        <v/>
      </c>
      <c r="V25" s="512"/>
      <c r="W25" s="513"/>
      <c r="X25" s="514"/>
      <c r="Y25" s="515"/>
      <c r="Z25" s="516"/>
      <c r="AA25" s="514"/>
    </row>
    <row r="26" spans="2:31" ht="12.95" hidden="1" customHeight="1" x14ac:dyDescent="0.25">
      <c r="B26" s="506" t="s">
        <v>391</v>
      </c>
      <c r="C26" s="507">
        <f>'O24-26'!G82</f>
        <v>0</v>
      </c>
      <c r="D26" s="508"/>
      <c r="E26" s="509"/>
      <c r="G26" s="966"/>
      <c r="H26" s="5"/>
      <c r="I26" s="510"/>
      <c r="J26" s="510"/>
      <c r="K26" s="465"/>
      <c r="L26" s="175" t="str">
        <f t="shared" si="5"/>
        <v>Kompost s poměrem C:N nižším než 10</v>
      </c>
      <c r="M26" s="481">
        <v>0.65</v>
      </c>
      <c r="N26" s="511">
        <v>15</v>
      </c>
      <c r="O26" s="483">
        <v>0.4</v>
      </c>
      <c r="P26" s="483">
        <f t="shared" si="6"/>
        <v>0</v>
      </c>
      <c r="Q26" s="484">
        <f t="shared" si="7"/>
        <v>0</v>
      </c>
      <c r="R26" s="447" t="str">
        <f t="shared" si="4"/>
        <v/>
      </c>
      <c r="V26" s="512"/>
      <c r="W26" s="513"/>
      <c r="X26" s="514"/>
      <c r="Y26" s="515"/>
      <c r="Z26" s="516"/>
      <c r="AA26" s="514"/>
    </row>
    <row r="27" spans="2:31" ht="12.95" hidden="1" customHeight="1" x14ac:dyDescent="0.25">
      <c r="B27" s="506" t="s">
        <v>392</v>
      </c>
      <c r="C27" s="507">
        <f>'O24-26'!G83</f>
        <v>0</v>
      </c>
      <c r="D27" s="508"/>
      <c r="E27" s="509"/>
      <c r="G27" s="966"/>
      <c r="H27" s="5"/>
      <c r="I27" s="510"/>
      <c r="J27" s="517"/>
      <c r="K27" s="518"/>
      <c r="L27" s="175" t="str">
        <f t="shared" si="5"/>
        <v>Upravený kal (ve 100% sušině)</v>
      </c>
      <c r="M27" s="481">
        <v>0.4</v>
      </c>
      <c r="N27" s="511">
        <v>5</v>
      </c>
      <c r="O27" s="483">
        <v>1</v>
      </c>
      <c r="P27" s="519"/>
      <c r="Q27" s="484">
        <f t="shared" si="7"/>
        <v>0</v>
      </c>
      <c r="R27" s="447" t="str">
        <f t="shared" si="4"/>
        <v/>
      </c>
      <c r="V27" s="512"/>
      <c r="W27" s="513"/>
      <c r="X27" s="514"/>
      <c r="Y27" s="515"/>
      <c r="Z27" s="516"/>
      <c r="AA27" s="514"/>
      <c r="AE27" s="514"/>
    </row>
    <row r="28" spans="2:31" ht="12.95" hidden="1" customHeight="1" x14ac:dyDescent="0.25">
      <c r="B28" s="506" t="s">
        <v>306</v>
      </c>
      <c r="C28" s="507">
        <f>'O24-26'!G84</f>
        <v>0</v>
      </c>
      <c r="D28" s="508"/>
      <c r="E28" s="509"/>
      <c r="F28" s="520"/>
      <c r="G28" s="966"/>
      <c r="H28" s="5"/>
      <c r="I28" s="510"/>
      <c r="J28" s="510"/>
      <c r="K28" s="510"/>
      <c r="L28" s="175" t="str">
        <f t="shared" si="5"/>
        <v>Kejda skotu</v>
      </c>
      <c r="M28" s="481">
        <v>0.18</v>
      </c>
      <c r="N28" s="511">
        <v>20</v>
      </c>
      <c r="O28" s="483">
        <v>7.2999999999999995E-2</v>
      </c>
      <c r="P28" s="483">
        <f t="shared" si="6"/>
        <v>0</v>
      </c>
      <c r="Q28" s="484">
        <f t="shared" si="7"/>
        <v>0</v>
      </c>
      <c r="R28" s="447" t="str">
        <f t="shared" si="4"/>
        <v/>
      </c>
      <c r="V28" s="512"/>
      <c r="W28" s="513"/>
      <c r="X28" s="514"/>
      <c r="Y28" s="515"/>
      <c r="Z28" s="516"/>
      <c r="AA28" s="514"/>
      <c r="AE28" s="514"/>
    </row>
    <row r="29" spans="2:31" ht="12.95" hidden="1" customHeight="1" x14ac:dyDescent="0.25">
      <c r="B29" s="506" t="s">
        <v>94</v>
      </c>
      <c r="C29" s="507">
        <f>'O24-26'!G85</f>
        <v>0</v>
      </c>
      <c r="D29" s="508"/>
      <c r="E29" s="509"/>
      <c r="F29" s="520"/>
      <c r="G29" s="966"/>
      <c r="H29" s="5"/>
      <c r="I29" s="510"/>
      <c r="J29" s="510"/>
      <c r="K29" s="510"/>
      <c r="L29" s="175" t="str">
        <f t="shared" si="5"/>
        <v>Fugát kejdy skotu</v>
      </c>
      <c r="M29" s="481">
        <v>0.15</v>
      </c>
      <c r="N29" s="511">
        <v>20</v>
      </c>
      <c r="O29" s="483">
        <v>5.8000000000000003E-2</v>
      </c>
      <c r="P29" s="483">
        <f t="shared" si="6"/>
        <v>0</v>
      </c>
      <c r="Q29" s="484">
        <f t="shared" si="7"/>
        <v>0</v>
      </c>
      <c r="R29" s="447" t="str">
        <f t="shared" si="4"/>
        <v/>
      </c>
      <c r="V29" s="512"/>
      <c r="W29" s="513"/>
      <c r="X29" s="514"/>
      <c r="Y29" s="515"/>
      <c r="Z29" s="516"/>
      <c r="AA29" s="514"/>
      <c r="AE29" s="514"/>
    </row>
    <row r="30" spans="2:31" ht="12.95" hidden="1" customHeight="1" x14ac:dyDescent="0.25">
      <c r="B30" s="506" t="s">
        <v>307</v>
      </c>
      <c r="C30" s="507">
        <f>'O24-26'!G86</f>
        <v>0</v>
      </c>
      <c r="D30" s="508"/>
      <c r="E30" s="509"/>
      <c r="F30" s="520"/>
      <c r="G30" s="966"/>
      <c r="H30" s="5"/>
      <c r="I30" s="510"/>
      <c r="J30" s="510"/>
      <c r="K30" s="510"/>
      <c r="L30" s="175" t="str">
        <f t="shared" si="5"/>
        <v>Kejda prasat</v>
      </c>
      <c r="M30" s="481">
        <v>0.1</v>
      </c>
      <c r="N30" s="511">
        <v>20</v>
      </c>
      <c r="O30" s="483">
        <v>5.2999999999999999E-2</v>
      </c>
      <c r="P30" s="483">
        <f t="shared" si="6"/>
        <v>0</v>
      </c>
      <c r="Q30" s="484">
        <f t="shared" si="7"/>
        <v>0</v>
      </c>
      <c r="R30" s="447" t="str">
        <f t="shared" si="4"/>
        <v/>
      </c>
      <c r="V30" s="512"/>
      <c r="W30" s="513"/>
      <c r="X30" s="514"/>
      <c r="Y30" s="515"/>
      <c r="Z30" s="516"/>
      <c r="AA30" s="514"/>
      <c r="AE30" s="514"/>
    </row>
    <row r="31" spans="2:31" ht="12.95" hidden="1" customHeight="1" x14ac:dyDescent="0.25">
      <c r="B31" s="506" t="s">
        <v>96</v>
      </c>
      <c r="C31" s="507">
        <f>'O24-26'!G87</f>
        <v>0</v>
      </c>
      <c r="D31" s="508"/>
      <c r="E31" s="509"/>
      <c r="F31" s="520"/>
      <c r="G31" s="966"/>
      <c r="H31" s="5"/>
      <c r="I31" s="510"/>
      <c r="J31" s="510"/>
      <c r="K31" s="510"/>
      <c r="L31" s="175" t="str">
        <f t="shared" si="5"/>
        <v>Fugát kejdy prasat</v>
      </c>
      <c r="M31" s="481">
        <v>7.0000000000000007E-2</v>
      </c>
      <c r="N31" s="511">
        <v>20</v>
      </c>
      <c r="O31" s="483">
        <v>3.4000000000000002E-2</v>
      </c>
      <c r="P31" s="483">
        <f t="shared" si="6"/>
        <v>0</v>
      </c>
      <c r="Q31" s="484">
        <f t="shared" si="7"/>
        <v>0</v>
      </c>
      <c r="R31" s="447" t="str">
        <f t="shared" si="4"/>
        <v/>
      </c>
      <c r="V31" s="512"/>
      <c r="W31" s="513"/>
      <c r="X31" s="514"/>
      <c r="Y31" s="515"/>
      <c r="Z31" s="516"/>
      <c r="AA31" s="514"/>
      <c r="AE31" s="514"/>
    </row>
    <row r="32" spans="2:31" ht="12.95" hidden="1" customHeight="1" x14ac:dyDescent="0.25">
      <c r="B32" s="506" t="s">
        <v>308</v>
      </c>
      <c r="C32" s="507">
        <f>'O24-26'!G88</f>
        <v>0</v>
      </c>
      <c r="D32" s="508"/>
      <c r="E32" s="509"/>
      <c r="F32" s="520"/>
      <c r="G32" s="966"/>
      <c r="H32" s="5"/>
      <c r="I32" s="510"/>
      <c r="J32" s="510"/>
      <c r="K32" s="510"/>
      <c r="L32" s="175" t="str">
        <f t="shared" si="5"/>
        <v>Digestát</v>
      </c>
      <c r="M32" s="481">
        <v>0.15</v>
      </c>
      <c r="N32" s="511">
        <v>20</v>
      </c>
      <c r="O32" s="483">
        <v>6.5000000000000002E-2</v>
      </c>
      <c r="P32" s="483">
        <f t="shared" si="6"/>
        <v>0</v>
      </c>
      <c r="Q32" s="484">
        <f t="shared" si="7"/>
        <v>0</v>
      </c>
      <c r="R32" s="447" t="str">
        <f t="shared" si="4"/>
        <v/>
      </c>
      <c r="V32" s="512"/>
      <c r="W32" s="513"/>
      <c r="X32" s="514"/>
      <c r="Y32" s="515"/>
      <c r="Z32" s="516"/>
      <c r="AA32" s="514"/>
      <c r="AE32" s="514"/>
    </row>
    <row r="33" spans="2:31" ht="12.95" hidden="1" customHeight="1" x14ac:dyDescent="0.25">
      <c r="B33" s="506" t="s">
        <v>98</v>
      </c>
      <c r="C33" s="507">
        <f>'O24-26'!G89</f>
        <v>0</v>
      </c>
      <c r="D33" s="508"/>
      <c r="E33" s="509"/>
      <c r="F33" s="520"/>
      <c r="G33" s="966"/>
      <c r="H33" s="5"/>
      <c r="I33" s="510"/>
      <c r="J33" s="510"/>
      <c r="K33" s="510"/>
      <c r="L33" s="175" t="str">
        <f t="shared" si="5"/>
        <v>Fugát digestátu</v>
      </c>
      <c r="M33" s="481">
        <v>0.1</v>
      </c>
      <c r="N33" s="511">
        <v>20</v>
      </c>
      <c r="O33" s="483">
        <v>4.2999999999999997E-2</v>
      </c>
      <c r="P33" s="483">
        <f t="shared" si="6"/>
        <v>0</v>
      </c>
      <c r="Q33" s="484">
        <f t="shared" si="7"/>
        <v>0</v>
      </c>
      <c r="R33" s="447" t="str">
        <f t="shared" si="4"/>
        <v/>
      </c>
      <c r="V33" s="512"/>
      <c r="W33" s="513"/>
      <c r="X33" s="514"/>
      <c r="Y33" s="515"/>
      <c r="Z33" s="516"/>
      <c r="AA33" s="514"/>
      <c r="AE33" s="514"/>
    </row>
    <row r="34" spans="2:31" ht="12.95" hidden="1" customHeight="1" x14ac:dyDescent="0.25">
      <c r="B34" s="506" t="s">
        <v>309</v>
      </c>
      <c r="C34" s="507">
        <f>'O24-26'!G90</f>
        <v>0</v>
      </c>
      <c r="D34" s="508"/>
      <c r="E34" s="509"/>
      <c r="F34" s="520"/>
      <c r="G34" s="966"/>
      <c r="H34" s="5"/>
      <c r="I34" s="510"/>
      <c r="J34" s="510"/>
      <c r="K34" s="510"/>
      <c r="L34" s="175" t="str">
        <f t="shared" si="5"/>
        <v>Výpalky melasové zahuštěné</v>
      </c>
      <c r="M34" s="481">
        <v>0.15</v>
      </c>
      <c r="N34" s="511">
        <v>5</v>
      </c>
      <c r="O34" s="483">
        <v>0.3</v>
      </c>
      <c r="P34" s="483">
        <f t="shared" si="6"/>
        <v>0</v>
      </c>
      <c r="Q34" s="484">
        <f t="shared" si="7"/>
        <v>0</v>
      </c>
      <c r="R34" s="447" t="str">
        <f t="shared" si="4"/>
        <v/>
      </c>
      <c r="V34" s="512"/>
      <c r="W34" s="513"/>
      <c r="X34" s="514"/>
      <c r="Y34" s="515"/>
      <c r="Z34" s="516"/>
      <c r="AA34" s="514"/>
      <c r="AE34" s="514"/>
    </row>
    <row r="35" spans="2:31" ht="12.95" hidden="1" customHeight="1" x14ac:dyDescent="0.25">
      <c r="B35" s="506" t="s">
        <v>310</v>
      </c>
      <c r="C35" s="507">
        <f>'O24-26'!G91</f>
        <v>0</v>
      </c>
      <c r="D35" s="508"/>
      <c r="E35" s="509"/>
      <c r="F35" s="520"/>
      <c r="G35" s="966"/>
      <c r="H35" s="5"/>
      <c r="I35" s="510"/>
      <c r="J35" s="510"/>
      <c r="K35" s="510"/>
      <c r="L35" s="175" t="str">
        <f t="shared" si="5"/>
        <v>Výpalky lihovarnické</v>
      </c>
      <c r="M35" s="481">
        <v>0.1</v>
      </c>
      <c r="N35" s="511">
        <v>20</v>
      </c>
      <c r="O35" s="483">
        <v>0.05</v>
      </c>
      <c r="P35" s="483">
        <f t="shared" si="6"/>
        <v>0</v>
      </c>
      <c r="Q35" s="484">
        <f t="shared" si="7"/>
        <v>0</v>
      </c>
      <c r="R35" s="447" t="str">
        <f t="shared" si="4"/>
        <v/>
      </c>
      <c r="V35" s="512"/>
      <c r="W35" s="513"/>
      <c r="X35" s="514"/>
      <c r="Y35" s="515"/>
      <c r="Z35" s="516"/>
      <c r="AA35" s="514"/>
      <c r="AE35" s="514"/>
    </row>
    <row r="36" spans="2:31" ht="12.95" hidden="1" customHeight="1" x14ac:dyDescent="0.25">
      <c r="B36" s="506" t="s">
        <v>311</v>
      </c>
      <c r="C36" s="507">
        <f>'O24-26'!G92</f>
        <v>0</v>
      </c>
      <c r="D36" s="508"/>
      <c r="E36" s="509"/>
      <c r="F36" s="520"/>
      <c r="G36" s="966"/>
      <c r="H36" s="5"/>
      <c r="I36" s="510"/>
      <c r="J36" s="510"/>
      <c r="K36" s="510"/>
      <c r="L36" s="175" t="str">
        <f t="shared" si="5"/>
        <v>Drůbeží trus sušený</v>
      </c>
      <c r="M36" s="481">
        <v>0.3</v>
      </c>
      <c r="N36" s="511">
        <v>5</v>
      </c>
      <c r="O36" s="483">
        <v>0.73</v>
      </c>
      <c r="P36" s="483">
        <f t="shared" si="6"/>
        <v>0</v>
      </c>
      <c r="Q36" s="484">
        <f t="shared" si="7"/>
        <v>0</v>
      </c>
      <c r="R36" s="447" t="str">
        <f t="shared" si="4"/>
        <v/>
      </c>
      <c r="V36" s="512"/>
      <c r="W36" s="513"/>
      <c r="X36" s="514"/>
      <c r="Y36" s="515"/>
      <c r="Z36" s="516"/>
      <c r="AA36" s="514"/>
      <c r="AE36" s="514"/>
    </row>
    <row r="37" spans="2:31" ht="12.95" hidden="1" customHeight="1" x14ac:dyDescent="0.25">
      <c r="B37" s="506" t="s">
        <v>7</v>
      </c>
      <c r="C37" s="507">
        <f>'O24-26'!G93</f>
        <v>0</v>
      </c>
      <c r="D37" s="508"/>
      <c r="E37" s="509"/>
      <c r="F37" s="520"/>
      <c r="G37" s="966"/>
      <c r="H37" s="5"/>
      <c r="I37" s="510"/>
      <c r="J37" s="510"/>
      <c r="K37" s="510"/>
      <c r="L37" s="175" t="str">
        <f t="shared" si="5"/>
        <v>Drůbeží trus s podestýlkou</v>
      </c>
      <c r="M37" s="481">
        <v>0.17</v>
      </c>
      <c r="N37" s="511">
        <v>5</v>
      </c>
      <c r="O37" s="483">
        <v>0.42</v>
      </c>
      <c r="P37" s="483">
        <f t="shared" si="6"/>
        <v>0</v>
      </c>
      <c r="Q37" s="484">
        <f t="shared" si="7"/>
        <v>0</v>
      </c>
      <c r="R37" s="447" t="str">
        <f t="shared" si="4"/>
        <v/>
      </c>
      <c r="V37" s="512"/>
      <c r="W37" s="513"/>
      <c r="X37" s="514"/>
      <c r="Y37" s="515"/>
      <c r="Z37" s="516"/>
      <c r="AA37" s="514"/>
      <c r="AE37" s="514"/>
    </row>
    <row r="38" spans="2:31" ht="12.95" hidden="1" customHeight="1" x14ac:dyDescent="0.25">
      <c r="B38" s="506" t="s">
        <v>312</v>
      </c>
      <c r="C38" s="507">
        <f>'O24-26'!G94</f>
        <v>0</v>
      </c>
      <c r="D38" s="508"/>
      <c r="E38" s="509"/>
      <c r="F38" s="520"/>
      <c r="G38" s="966"/>
      <c r="H38" s="5"/>
      <c r="I38" s="510"/>
      <c r="J38" s="510"/>
      <c r="K38" s="510"/>
      <c r="L38" s="175" t="str">
        <f t="shared" si="5"/>
        <v>Drůbeží trus uleželý</v>
      </c>
      <c r="M38" s="481">
        <v>0.13</v>
      </c>
      <c r="N38" s="511">
        <v>5</v>
      </c>
      <c r="O38" s="483">
        <v>0.32</v>
      </c>
      <c r="P38" s="483">
        <f t="shared" si="6"/>
        <v>0</v>
      </c>
      <c r="Q38" s="484">
        <f t="shared" si="7"/>
        <v>0</v>
      </c>
      <c r="R38" s="447" t="str">
        <f t="shared" si="4"/>
        <v/>
      </c>
      <c r="V38" s="512"/>
      <c r="W38" s="513"/>
      <c r="X38" s="514"/>
      <c r="Y38" s="515"/>
      <c r="Z38" s="516"/>
      <c r="AA38" s="514"/>
      <c r="AE38" s="514"/>
    </row>
    <row r="39" spans="2:31" ht="13.35" customHeight="1" x14ac:dyDescent="0.25">
      <c r="B39" s="489" t="str">
        <f>IF(G8=100%,"doplňte rozsah opatření (jinak zůstane 100% neplnění):","")</f>
        <v/>
      </c>
      <c r="C39" s="490" t="str">
        <f>IF(G8=100%,"↓","")</f>
        <v/>
      </c>
      <c r="D39" s="457"/>
      <c r="E39" s="457"/>
      <c r="F39" s="149"/>
      <c r="G39" s="966"/>
      <c r="H39" s="521"/>
      <c r="I39" s="521"/>
      <c r="J39" s="521"/>
      <c r="K39" s="521"/>
      <c r="L39" s="522" t="s">
        <v>393</v>
      </c>
      <c r="M39" s="523"/>
      <c r="N39" s="524"/>
      <c r="O39" s="525"/>
      <c r="P39" s="444"/>
      <c r="Q39" s="526">
        <f>SUM(Q23:Q38)</f>
        <v>0</v>
      </c>
      <c r="R39" s="496">
        <f>SUM(R23:R38)</f>
        <v>0</v>
      </c>
    </row>
    <row r="40" spans="2:31" ht="1.5" customHeight="1" x14ac:dyDescent="0.25">
      <c r="B40" s="5"/>
      <c r="C40" s="152"/>
      <c r="D40" s="457"/>
      <c r="E40" s="457"/>
      <c r="F40" s="152"/>
      <c r="G40" s="966"/>
      <c r="H40" s="413"/>
      <c r="I40" s="413"/>
      <c r="J40" s="413"/>
      <c r="K40" s="413"/>
      <c r="L40" s="5"/>
      <c r="M40" s="140"/>
      <c r="N40" s="527"/>
      <c r="O40" s="528"/>
      <c r="P40" s="529"/>
      <c r="Q40" s="530"/>
      <c r="R40" s="531"/>
    </row>
    <row r="41" spans="2:31" ht="13.5" customHeight="1" thickBot="1" x14ac:dyDescent="0.3">
      <c r="B41" s="501" t="s">
        <v>587</v>
      </c>
      <c r="C41" s="475" t="s">
        <v>280</v>
      </c>
      <c r="D41" s="440" t="s">
        <v>588</v>
      </c>
      <c r="E41" s="441"/>
      <c r="F41" s="500"/>
      <c r="G41" s="966"/>
      <c r="H41" s="433"/>
      <c r="I41" s="433"/>
      <c r="J41" s="433"/>
      <c r="K41" s="433"/>
      <c r="L41" s="501" t="str">
        <f>B41</f>
        <v>Dodání organické hmoty a další opatření (2025/2026)</v>
      </c>
      <c r="M41" s="109" t="s">
        <v>365</v>
      </c>
      <c r="N41" s="109"/>
      <c r="O41" s="503"/>
      <c r="P41" s="503"/>
      <c r="Q41" s="502" t="s">
        <v>387</v>
      </c>
      <c r="R41" s="503" t="s">
        <v>388</v>
      </c>
      <c r="S41" s="504" t="s">
        <v>389</v>
      </c>
    </row>
    <row r="42" spans="2:31" ht="12.95" customHeight="1" thickBot="1" x14ac:dyDescent="0.3">
      <c r="B42" s="532" t="s">
        <v>589</v>
      </c>
      <c r="C42" s="222"/>
      <c r="D42" s="449" t="s">
        <v>590</v>
      </c>
      <c r="E42" s="450"/>
      <c r="F42" s="533"/>
      <c r="G42" s="966"/>
      <c r="H42" s="453"/>
      <c r="I42" s="453"/>
      <c r="J42" s="453"/>
      <c r="K42" s="453"/>
      <c r="L42" s="534" t="str">
        <f>B42</f>
        <v xml:space="preserve">Sláma po sklizni kukuřice CCM. </v>
      </c>
      <c r="M42" s="481">
        <v>0.5</v>
      </c>
      <c r="N42" s="482"/>
      <c r="O42" s="535"/>
      <c r="P42" s="535"/>
      <c r="Q42" s="484">
        <f t="shared" ref="Q42:Q55" si="8">C42*M42</f>
        <v>0</v>
      </c>
      <c r="R42" s="447" t="str">
        <f t="shared" ref="R42:R55" si="9">IF(C$8=0,"",((30*0.165)*Q42)/C$8)</f>
        <v/>
      </c>
      <c r="V42" s="536"/>
      <c r="X42" s="537"/>
      <c r="Z42" s="515"/>
      <c r="AA42" s="514"/>
    </row>
    <row r="43" spans="2:31" ht="43.5" customHeight="1" thickBot="1" x14ac:dyDescent="0.3">
      <c r="B43" s="532" t="s">
        <v>452</v>
      </c>
      <c r="C43" s="485">
        <f>'P25'!O80</f>
        <v>0</v>
      </c>
      <c r="D43" s="449" t="s">
        <v>563</v>
      </c>
      <c r="E43" s="450"/>
      <c r="G43" s="966"/>
      <c r="H43" s="453"/>
      <c r="I43" s="453"/>
      <c r="J43" s="453"/>
      <c r="K43" s="453"/>
      <c r="L43" s="534" t="str">
        <f>B43</f>
        <v>Sláma obilnin (vč. kukuřice na zrno), olejnin, luskovin a dalších plodin pěstovaných na zrno či semeno (veškerá sláma, bez ohledu na přidání dusíku) atd.</v>
      </c>
      <c r="M43" s="481">
        <v>0.5</v>
      </c>
      <c r="N43" s="482"/>
      <c r="O43" s="535"/>
      <c r="P43" s="535"/>
      <c r="Q43" s="484">
        <f t="shared" si="8"/>
        <v>0</v>
      </c>
      <c r="R43" s="447" t="str">
        <f t="shared" si="9"/>
        <v/>
      </c>
      <c r="V43" s="536"/>
      <c r="X43" s="537"/>
      <c r="Z43" s="515"/>
      <c r="AA43" s="514"/>
    </row>
    <row r="44" spans="2:31" ht="28.7" customHeight="1" thickBot="1" x14ac:dyDescent="0.3">
      <c r="B44" s="538" t="s">
        <v>396</v>
      </c>
      <c r="C44" s="222"/>
      <c r="D44" s="449" t="s">
        <v>397</v>
      </c>
      <c r="E44" s="539"/>
      <c r="F44" s="533"/>
      <c r="G44" s="966"/>
      <c r="H44" s="453"/>
      <c r="I44" s="453"/>
      <c r="J44" s="453"/>
      <c r="K44" s="453"/>
      <c r="L44" s="534" t="str">
        <f t="shared" ref="L44:L55" si="10">B44</f>
        <v>… z toho kombinace: sláma obilnin + kejda, digestát, výpalky</v>
      </c>
      <c r="M44" s="481">
        <v>0.1</v>
      </c>
      <c r="N44" s="482"/>
      <c r="O44" s="535"/>
      <c r="P44" s="535"/>
      <c r="Q44" s="484">
        <f t="shared" si="8"/>
        <v>0</v>
      </c>
      <c r="R44" s="447" t="str">
        <f t="shared" si="9"/>
        <v/>
      </c>
      <c r="V44" s="536"/>
      <c r="X44" s="537"/>
      <c r="Y44" s="515"/>
      <c r="Z44" s="515"/>
      <c r="AA44" s="514"/>
    </row>
    <row r="45" spans="2:31" ht="12.95" customHeight="1" thickBot="1" x14ac:dyDescent="0.3">
      <c r="B45" s="538" t="s">
        <v>429</v>
      </c>
      <c r="C45" s="485">
        <f>'P25'!O81</f>
        <v>0</v>
      </c>
      <c r="D45" s="540" t="s">
        <v>564</v>
      </c>
      <c r="E45" s="539"/>
      <c r="G45" s="966"/>
      <c r="H45" s="453"/>
      <c r="I45" s="453"/>
      <c r="J45" s="453"/>
      <c r="K45" s="453"/>
      <c r="L45" s="534" t="str">
        <f t="shared" si="10"/>
        <v>Chrást</v>
      </c>
      <c r="M45" s="481">
        <v>0.25</v>
      </c>
      <c r="N45" s="482"/>
      <c r="O45" s="541"/>
      <c r="P45" s="541"/>
      <c r="Q45" s="484">
        <f t="shared" ref="Q45:Q46" si="11">C45*M45</f>
        <v>0</v>
      </c>
      <c r="R45" s="447" t="str">
        <f t="shared" si="9"/>
        <v/>
      </c>
      <c r="V45" s="536"/>
      <c r="X45" s="537"/>
      <c r="Y45" s="515"/>
      <c r="Z45" s="515"/>
      <c r="AA45" s="514"/>
    </row>
    <row r="46" spans="2:31" ht="12.95" customHeight="1" x14ac:dyDescent="0.25">
      <c r="B46" s="542" t="s">
        <v>430</v>
      </c>
      <c r="C46" s="220"/>
      <c r="D46" s="540" t="s">
        <v>565</v>
      </c>
      <c r="E46" s="539"/>
      <c r="F46" s="533"/>
      <c r="G46" s="966"/>
      <c r="H46" s="453"/>
      <c r="I46" s="453"/>
      <c r="J46" s="453"/>
      <c r="K46" s="453"/>
      <c r="L46" s="534" t="str">
        <f t="shared" si="10"/>
        <v>Nesklizené hlavní plodiny</v>
      </c>
      <c r="M46" s="481">
        <v>0.25</v>
      </c>
      <c r="N46" s="482"/>
      <c r="O46" s="541"/>
      <c r="P46" s="541"/>
      <c r="Q46" s="484">
        <f t="shared" si="11"/>
        <v>0</v>
      </c>
      <c r="R46" s="447" t="str">
        <f t="shared" si="9"/>
        <v/>
      </c>
      <c r="V46" s="536"/>
      <c r="X46" s="537"/>
      <c r="Y46" s="515"/>
      <c r="Z46" s="515"/>
      <c r="AA46" s="514"/>
    </row>
    <row r="47" spans="2:31" ht="12.95" customHeight="1" x14ac:dyDescent="0.25">
      <c r="B47" s="542" t="s">
        <v>399</v>
      </c>
      <c r="C47" s="311"/>
      <c r="D47" s="540" t="s">
        <v>566</v>
      </c>
      <c r="E47" s="539"/>
      <c r="F47" s="533"/>
      <c r="G47" s="966"/>
      <c r="H47" s="453"/>
      <c r="I47" s="453"/>
      <c r="J47" s="453"/>
      <c r="K47" s="453"/>
      <c r="L47" s="534" t="str">
        <f t="shared" si="10"/>
        <v>Nesklizený obrost víceletých pícnin</v>
      </c>
      <c r="M47" s="481">
        <v>0.2</v>
      </c>
      <c r="N47" s="482"/>
      <c r="O47" s="541"/>
      <c r="P47" s="541"/>
      <c r="Q47" s="484">
        <f t="shared" si="8"/>
        <v>0</v>
      </c>
      <c r="R47" s="447" t="str">
        <f t="shared" si="9"/>
        <v/>
      </c>
      <c r="V47" s="536"/>
      <c r="X47" s="537"/>
      <c r="Y47" s="515"/>
      <c r="Z47" s="515"/>
      <c r="AA47" s="514"/>
    </row>
    <row r="48" spans="2:31" ht="12.95" customHeight="1" x14ac:dyDescent="0.25">
      <c r="B48" s="542" t="s">
        <v>400</v>
      </c>
      <c r="C48" s="311"/>
      <c r="D48" s="540" t="s">
        <v>567</v>
      </c>
      <c r="E48" s="539"/>
      <c r="F48" s="978"/>
      <c r="G48" s="966"/>
      <c r="H48" s="453"/>
      <c r="I48" s="453"/>
      <c r="J48" s="453"/>
      <c r="K48" s="453"/>
      <c r="L48" s="534" t="str">
        <f t="shared" si="10"/>
        <v xml:space="preserve">Meziplodiny na zelené hnojení – následuje ozimá plodina </v>
      </c>
      <c r="M48" s="481">
        <v>0.2</v>
      </c>
      <c r="N48" s="482"/>
      <c r="O48" s="541"/>
      <c r="P48" s="541"/>
      <c r="Q48" s="484">
        <f t="shared" si="8"/>
        <v>0</v>
      </c>
      <c r="R48" s="447" t="str">
        <f t="shared" si="9"/>
        <v/>
      </c>
    </row>
    <row r="49" spans="2:19" ht="12.95" customHeight="1" x14ac:dyDescent="0.25">
      <c r="B49" s="542" t="s">
        <v>401</v>
      </c>
      <c r="C49" s="311"/>
      <c r="D49" s="540" t="s">
        <v>568</v>
      </c>
      <c r="E49" s="539"/>
      <c r="F49" s="978"/>
      <c r="G49" s="966"/>
      <c r="H49" s="453"/>
      <c r="I49" s="453"/>
      <c r="J49" s="453"/>
      <c r="K49" s="453"/>
      <c r="L49" s="534" t="str">
        <f t="shared" si="10"/>
        <v>Meziplodiny na zelené hnojení – následuje jarní plodina</v>
      </c>
      <c r="M49" s="481">
        <v>0.35</v>
      </c>
      <c r="N49" s="482"/>
      <c r="O49" s="541"/>
      <c r="P49" s="541"/>
      <c r="Q49" s="484">
        <f t="shared" si="8"/>
        <v>0</v>
      </c>
      <c r="R49" s="447" t="str">
        <f t="shared" si="9"/>
        <v/>
      </c>
    </row>
    <row r="50" spans="2:19" ht="12.95" customHeight="1" x14ac:dyDescent="0.25">
      <c r="B50" s="542" t="s">
        <v>402</v>
      </c>
      <c r="C50" s="311"/>
      <c r="D50" s="540" t="s">
        <v>569</v>
      </c>
      <c r="E50" s="539"/>
      <c r="F50" s="978"/>
      <c r="G50" s="966"/>
      <c r="H50" s="453"/>
      <c r="I50" s="453"/>
      <c r="J50" s="453"/>
      <c r="K50" s="453"/>
      <c r="L50" s="534" t="str">
        <f t="shared" si="10"/>
        <v>Meziplodiny – současně s hlavní plodinou</v>
      </c>
      <c r="M50" s="481">
        <v>0.2</v>
      </c>
      <c r="N50" s="482"/>
      <c r="O50" s="541"/>
      <c r="P50" s="541"/>
      <c r="Q50" s="484">
        <f t="shared" si="8"/>
        <v>0</v>
      </c>
      <c r="R50" s="447" t="str">
        <f t="shared" si="9"/>
        <v/>
      </c>
    </row>
    <row r="51" spans="2:19" ht="12.95" customHeight="1" x14ac:dyDescent="0.25">
      <c r="B51" s="542" t="s">
        <v>403</v>
      </c>
      <c r="C51" s="311"/>
      <c r="D51" s="540" t="s">
        <v>570</v>
      </c>
      <c r="E51" s="539"/>
      <c r="F51" s="978"/>
      <c r="G51" s="966"/>
      <c r="H51" s="453"/>
      <c r="I51" s="453"/>
      <c r="J51" s="453"/>
      <c r="K51" s="453"/>
      <c r="L51" s="534" t="str">
        <f>B51</f>
        <v>Meziplodiny – odvoz zelené hmoty</v>
      </c>
      <c r="M51" s="481">
        <v>0.1</v>
      </c>
      <c r="N51" s="482"/>
      <c r="O51" s="541"/>
      <c r="P51" s="541"/>
      <c r="Q51" s="484">
        <f t="shared" si="8"/>
        <v>0</v>
      </c>
      <c r="R51" s="447" t="str">
        <f>IF(C$8=0,"",((30*0.165)*Q51)/C$8)</f>
        <v/>
      </c>
    </row>
    <row r="52" spans="2:19" ht="12.95" customHeight="1" x14ac:dyDescent="0.25">
      <c r="B52" s="542" t="s">
        <v>591</v>
      </c>
      <c r="C52" s="311"/>
      <c r="D52" s="540" t="s">
        <v>571</v>
      </c>
      <c r="E52" s="539"/>
      <c r="F52" s="533"/>
      <c r="G52" s="966"/>
      <c r="H52" s="453"/>
      <c r="I52" s="453"/>
      <c r="J52" s="453"/>
      <c r="K52" s="453"/>
      <c r="L52" s="534" t="str">
        <f t="shared" si="10"/>
        <v>Úhory a ochr. pásy* (JŽ, květen 2026) – bez odvozu zelené hmoty</v>
      </c>
      <c r="M52" s="481">
        <v>0.45</v>
      </c>
      <c r="N52" s="482"/>
      <c r="O52" s="541"/>
      <c r="P52" s="541"/>
      <c r="Q52" s="484">
        <f t="shared" si="8"/>
        <v>0</v>
      </c>
      <c r="R52" s="447" t="str">
        <f t="shared" si="9"/>
        <v/>
      </c>
    </row>
    <row r="53" spans="2:19" ht="12.95" customHeight="1" x14ac:dyDescent="0.25">
      <c r="B53" s="542" t="s">
        <v>592</v>
      </c>
      <c r="C53" s="311"/>
      <c r="D53" s="540" t="s">
        <v>572</v>
      </c>
      <c r="E53" s="539"/>
      <c r="F53" s="533"/>
      <c r="G53" s="966"/>
      <c r="H53" s="453"/>
      <c r="I53" s="453"/>
      <c r="J53" s="453"/>
      <c r="K53" s="453"/>
      <c r="L53" s="534" t="str">
        <f t="shared" si="10"/>
        <v>Úhory a ochr. pásy* (JŽ, květen 2026) – odvoz zelené hmoty</v>
      </c>
      <c r="M53" s="481">
        <v>0.1</v>
      </c>
      <c r="N53" s="482"/>
      <c r="O53" s="541"/>
      <c r="P53" s="541"/>
      <c r="Q53" s="484">
        <f t="shared" si="8"/>
        <v>0</v>
      </c>
      <c r="R53" s="447" t="str">
        <f t="shared" si="9"/>
        <v/>
      </c>
    </row>
    <row r="54" spans="2:19" ht="12.95" customHeight="1" x14ac:dyDescent="0.25">
      <c r="B54" s="542" t="s">
        <v>580</v>
      </c>
      <c r="C54" s="311"/>
      <c r="D54" s="540" t="s">
        <v>574</v>
      </c>
      <c r="E54" s="539"/>
      <c r="F54" s="533"/>
      <c r="G54" s="966"/>
      <c r="H54" s="453"/>
      <c r="I54" s="453"/>
      <c r="J54" s="453"/>
      <c r="K54" s="453"/>
      <c r="L54" s="534" t="str">
        <f t="shared" si="10"/>
        <v>Strip-till (vyplňte i tabulku č. 7 v listu "PT24-26")</v>
      </c>
      <c r="M54" s="481">
        <v>0.2</v>
      </c>
      <c r="N54" s="482"/>
      <c r="O54" s="535"/>
      <c r="P54" s="535"/>
      <c r="Q54" s="484">
        <f t="shared" si="8"/>
        <v>0</v>
      </c>
      <c r="R54" s="447" t="str">
        <f t="shared" si="9"/>
        <v/>
      </c>
    </row>
    <row r="55" spans="2:19" ht="12.95" customHeight="1" thickBot="1" x14ac:dyDescent="0.3">
      <c r="B55" s="538" t="s">
        <v>581</v>
      </c>
      <c r="C55" s="221"/>
      <c r="D55" s="543" t="s">
        <v>573</v>
      </c>
      <c r="E55" s="539"/>
      <c r="F55" s="533"/>
      <c r="G55" s="966"/>
      <c r="H55" s="453"/>
      <c r="I55" s="453"/>
      <c r="J55" s="453"/>
      <c r="K55" s="453"/>
      <c r="L55" s="534" t="str">
        <f t="shared" si="10"/>
        <v>Přímé setí (vyplňte i tabulku č. 7 v listu "PT24-26")</v>
      </c>
      <c r="M55" s="481">
        <v>0.2</v>
      </c>
      <c r="N55" s="482"/>
      <c r="O55" s="535"/>
      <c r="P55" s="535"/>
      <c r="Q55" s="484">
        <f t="shared" si="8"/>
        <v>0</v>
      </c>
      <c r="R55" s="447" t="str">
        <f t="shared" si="9"/>
        <v/>
      </c>
    </row>
    <row r="56" spans="2:19" ht="56.45" customHeight="1" x14ac:dyDescent="0.25">
      <c r="B56" s="977" t="s">
        <v>596</v>
      </c>
      <c r="C56" s="959"/>
      <c r="D56" s="977"/>
      <c r="E56" s="544"/>
      <c r="F56" s="521"/>
      <c r="G56" s="521"/>
      <c r="H56" s="521"/>
      <c r="I56" s="521"/>
      <c r="J56" s="521"/>
      <c r="K56" s="521"/>
      <c r="L56" s="522" t="s">
        <v>407</v>
      </c>
      <c r="M56" s="545"/>
      <c r="N56" s="175"/>
      <c r="O56" s="175"/>
      <c r="P56" s="444"/>
      <c r="Q56" s="526">
        <f>SUM(Q42:Q55)</f>
        <v>0</v>
      </c>
      <c r="R56" s="496">
        <f>SUM(R42:R55)</f>
        <v>0</v>
      </c>
    </row>
    <row r="57" spans="2:19" ht="4.3499999999999996" customHeight="1" x14ac:dyDescent="0.25">
      <c r="B57" s="4"/>
      <c r="C57" s="546"/>
      <c r="D57" s="546"/>
      <c r="E57" s="546"/>
      <c r="F57" s="547"/>
      <c r="G57" s="547"/>
      <c r="H57" s="547"/>
      <c r="I57" s="547"/>
      <c r="J57" s="547"/>
      <c r="K57" s="547"/>
      <c r="L57" s="548"/>
      <c r="M57" s="549"/>
      <c r="N57" s="5"/>
      <c r="O57" s="5"/>
      <c r="P57" s="549"/>
      <c r="Q57" s="550"/>
      <c r="R57" s="551"/>
      <c r="S57" s="552"/>
    </row>
    <row r="58" spans="2:19" ht="15" customHeight="1" x14ac:dyDescent="0.25">
      <c r="B58" s="722" t="str">
        <f>'P24'!B83</f>
        <v>Verze 4 (18. 9. 2025, www.carc.cz), kontakty: Ing. Jan Klír, CSc. (603 520 684; jan.klir@carc.cz), Ing. Lada Kozlovská (733 375 632; lada.kozlovska@carc.cz)</v>
      </c>
      <c r="C58" s="722"/>
      <c r="D58" s="722"/>
      <c r="E58" s="553"/>
      <c r="F58" s="547"/>
      <c r="G58" s="547"/>
      <c r="H58" s="547"/>
      <c r="I58" s="547"/>
      <c r="J58" s="547"/>
      <c r="K58" s="547"/>
      <c r="L58" s="554" t="s">
        <v>408</v>
      </c>
      <c r="M58" s="555"/>
      <c r="N58" s="556"/>
      <c r="O58" s="557"/>
      <c r="P58" s="558">
        <f>IF(C$8=0,0,Q58/C$8)</f>
        <v>0</v>
      </c>
      <c r="Q58" s="559">
        <f>Q39+Q56</f>
        <v>0</v>
      </c>
      <c r="R58" s="560">
        <f>R39+R56</f>
        <v>0</v>
      </c>
      <c r="S58" s="561" t="s">
        <v>409</v>
      </c>
    </row>
    <row r="59" spans="2:19" ht="18.95" customHeight="1" x14ac:dyDescent="0.25">
      <c r="E59" s="553"/>
      <c r="F59" s="412"/>
      <c r="G59" s="412"/>
      <c r="H59" s="412"/>
      <c r="I59" s="412"/>
      <c r="J59" s="412"/>
      <c r="K59" s="412"/>
      <c r="L59" s="562" t="s">
        <v>410</v>
      </c>
      <c r="M59" s="563"/>
      <c r="N59" s="563"/>
      <c r="O59" s="564"/>
      <c r="P59" s="565">
        <f>IF(C$8=0,0,Q59/C$8)</f>
        <v>0</v>
      </c>
      <c r="Q59" s="566">
        <f>IF(C8=0,0,Q58-Q9)</f>
        <v>0</v>
      </c>
      <c r="R59" s="567">
        <f>IF(C8=0,0,R58-R20)</f>
        <v>0</v>
      </c>
      <c r="S59" s="561" t="s">
        <v>411</v>
      </c>
    </row>
    <row r="60" spans="2:19" ht="12" customHeight="1" x14ac:dyDescent="0.25">
      <c r="C60" s="5"/>
      <c r="D60" s="553"/>
      <c r="E60" s="553"/>
      <c r="F60" s="412"/>
      <c r="G60" s="412"/>
      <c r="H60" s="412"/>
      <c r="I60" s="412"/>
      <c r="J60" s="412"/>
      <c r="K60" s="412"/>
      <c r="L60" s="412"/>
      <c r="M60" s="568"/>
      <c r="N60" s="568"/>
      <c r="O60" s="568"/>
      <c r="P60" s="568"/>
      <c r="Q60" s="569"/>
      <c r="R60" s="569"/>
    </row>
    <row r="61" spans="2:19" ht="12.95" customHeight="1" x14ac:dyDescent="0.25">
      <c r="C61" s="5"/>
      <c r="D61" s="553"/>
      <c r="E61" s="553"/>
      <c r="F61" s="412"/>
      <c r="G61" s="412"/>
      <c r="H61" s="412"/>
      <c r="I61" s="412"/>
      <c r="J61" s="412"/>
      <c r="K61" s="412"/>
      <c r="L61" s="412"/>
      <c r="M61" s="5"/>
      <c r="N61" s="5"/>
      <c r="O61" s="5"/>
      <c r="P61" s="5"/>
    </row>
    <row r="62" spans="2:19" ht="11.25" customHeight="1" x14ac:dyDescent="0.25">
      <c r="S62" s="553"/>
    </row>
    <row r="64" spans="2:19" x14ac:dyDescent="0.25">
      <c r="C64" s="570"/>
      <c r="D64" s="570"/>
      <c r="E64" s="570"/>
      <c r="F64" s="570"/>
      <c r="G64" s="570"/>
      <c r="H64" s="570"/>
      <c r="I64" s="570"/>
      <c r="J64" s="570"/>
      <c r="K64" s="570"/>
      <c r="L64" s="570"/>
    </row>
  </sheetData>
  <sheetProtection algorithmName="SHA-512" hashValue="fUU5GMoJeKFs5PWdd5ynAvrFf7oTlQATnPNdGUU02n6mbSMLCTh4uGiiX/HMh7aearemlONL2vmTgd2sOT77SQ==" saltValue="rF6dve28/VpILM72pnn5/A==" spinCount="100000" sheet="1" formatCells="0" formatColumns="0" formatRows="0"/>
  <mergeCells count="24">
    <mergeCell ref="R4:R7"/>
    <mergeCell ref="B6:C6"/>
    <mergeCell ref="P7:Q7"/>
    <mergeCell ref="B1:D1"/>
    <mergeCell ref="N1:O1"/>
    <mergeCell ref="C2:D2"/>
    <mergeCell ref="N2:O2"/>
    <mergeCell ref="N4:O4"/>
    <mergeCell ref="M8:O8"/>
    <mergeCell ref="D9:D11"/>
    <mergeCell ref="M9:O9"/>
    <mergeCell ref="F10:G12"/>
    <mergeCell ref="H13:J19"/>
    <mergeCell ref="O13:O19"/>
    <mergeCell ref="G52:G55"/>
    <mergeCell ref="B56:D56"/>
    <mergeCell ref="B58:D58"/>
    <mergeCell ref="P13:Q13"/>
    <mergeCell ref="F18:G18"/>
    <mergeCell ref="F19:G19"/>
    <mergeCell ref="F20:G20"/>
    <mergeCell ref="I20:J21"/>
    <mergeCell ref="G23:G51"/>
    <mergeCell ref="F48:F51"/>
  </mergeCells>
  <conditionalFormatting sqref="B20">
    <cfRule type="containsText" dxfId="49" priority="6" operator="containsText" text="rozsah">
      <formula>NOT(ISERROR(SEARCH("rozsah",B20)))</formula>
    </cfRule>
  </conditionalFormatting>
  <conditionalFormatting sqref="B39">
    <cfRule type="containsText" dxfId="48" priority="5" operator="containsText" text="rozsah">
      <formula>NOT(ISERROR(SEARCH("rozsah",B39)))</formula>
    </cfRule>
  </conditionalFormatting>
  <conditionalFormatting sqref="C4 I1 I4:K4">
    <cfRule type="containsText" dxfId="47" priority="35" operator="containsText" text="Nesplňuje">
      <formula>NOT(ISERROR(SEARCH("Nesplňuje",C1)))</formula>
    </cfRule>
  </conditionalFormatting>
  <conditionalFormatting sqref="C4">
    <cfRule type="cellIs" dxfId="46" priority="10" operator="equal">
      <formula>"splněna"</formula>
    </cfRule>
    <cfRule type="cellIs" dxfId="45" priority="11" operator="equal">
      <formula>"nesplněna"</formula>
    </cfRule>
    <cfRule type="containsText" dxfId="44" priority="28" operator="containsText" text="splněny">
      <formula>NOT(ISERROR(SEARCH("splněny",C4)))</formula>
    </cfRule>
    <cfRule type="containsText" dxfId="43" priority="27" operator="containsText" text="nesplněny">
      <formula>NOT(ISERROR(SEARCH("nesplněny",C4)))</formula>
    </cfRule>
  </conditionalFormatting>
  <conditionalFormatting sqref="C5 T6">
    <cfRule type="containsText" dxfId="42" priority="33" operator="containsText" text="Záporná">
      <formula>NOT(ISERROR(SEARCH("Záporná",C5)))</formula>
    </cfRule>
    <cfRule type="containsText" dxfId="41" priority="32" operator="containsText" text="Zlepšující">
      <formula>NOT(ISERROR(SEARCH("Zlepšující",C5)))</formula>
    </cfRule>
    <cfRule type="containsText" dxfId="40" priority="31" operator="containsText" text="Vyrovnaná">
      <formula>NOT(ISERROR(SEARCH("Vyrovnaná",C5)))</formula>
    </cfRule>
    <cfRule type="containsText" dxfId="39" priority="30" operator="containsText" text="Zlepšující">
      <formula>NOT(ISERROR(SEARCH("Zlepšující",C5)))</formula>
    </cfRule>
    <cfRule type="containsText" dxfId="38" priority="29" operator="containsText" text="Zlepšující">
      <formula>NOT(ISERROR(SEARCH("Zlepšující",C5)))</formula>
    </cfRule>
    <cfRule type="containsText" dxfId="37" priority="34" operator="containsText" text="Vyrovnaná">
      <formula>NOT(ISERROR(SEARCH("Vyrovnaná",C5)))</formula>
    </cfRule>
  </conditionalFormatting>
  <conditionalFormatting sqref="C10">
    <cfRule type="cellIs" dxfId="36" priority="13" operator="lessThan">
      <formula>0</formula>
    </cfRule>
  </conditionalFormatting>
  <conditionalFormatting sqref="C20">
    <cfRule type="containsText" dxfId="35" priority="4" operator="containsText" text="↓">
      <formula>NOT(ISERROR(SEARCH("↓",C20)))</formula>
    </cfRule>
  </conditionalFormatting>
  <conditionalFormatting sqref="C39">
    <cfRule type="containsText" dxfId="34" priority="3" operator="containsText" text="↓">
      <formula>NOT(ISERROR(SEARCH("↓",C39)))</formula>
    </cfRule>
  </conditionalFormatting>
  <conditionalFormatting sqref="D6:E6">
    <cfRule type="containsText" dxfId="33" priority="21" operator="containsText" text="Nesplňuje">
      <formula>NOT(ISERROR(SEARCH("Nesplňuje",D6)))</formula>
    </cfRule>
  </conditionalFormatting>
  <conditionalFormatting sqref="F7:F8">
    <cfRule type="cellIs" dxfId="32" priority="20" operator="lessThan">
      <formula>0</formula>
    </cfRule>
  </conditionalFormatting>
  <conditionalFormatting sqref="F3:G3">
    <cfRule type="containsText" dxfId="31" priority="1" operator="containsText" text="uživatele">
      <formula>NOT(ISERROR(SEARCH("uživatele",F3)))</formula>
    </cfRule>
    <cfRule type="containsText" dxfId="30" priority="2" operator="containsText" text="prosíme vyplnit IČO">
      <formula>NOT(ISERROR(SEARCH("prosíme vyplnit IČO",F3)))</formula>
    </cfRule>
  </conditionalFormatting>
  <conditionalFormatting sqref="G4:G6 I5:L5 H6:L6 G8">
    <cfRule type="containsText" dxfId="29" priority="19" operator="containsText" text="Nesplňuje">
      <formula>NOT(ISERROR(SEARCH("Nesplňuje",G4)))</formula>
    </cfRule>
  </conditionalFormatting>
  <conditionalFormatting sqref="G4:G6">
    <cfRule type="containsText" dxfId="28" priority="24" operator="containsText" text="Splňuje">
      <formula>NOT(ISERROR(SEARCH("Splňuje",G4)))</formula>
    </cfRule>
    <cfRule type="containsText" dxfId="27" priority="25" operator="containsText" text="Nesplňuje">
      <formula>NOT(ISERROR(SEARCH("Nesplňuje",G4)))</formula>
    </cfRule>
  </conditionalFormatting>
  <conditionalFormatting sqref="G7">
    <cfRule type="containsText" dxfId="26" priority="16" operator="containsText" text="Splňuje">
      <formula>NOT(ISERROR(SEARCH("Splňuje",G7)))</formula>
    </cfRule>
    <cfRule type="containsText" dxfId="25" priority="15" operator="containsText" text="Nesplňuje">
      <formula>NOT(ISERROR(SEARCH("Nesplňuje",G7)))</formula>
    </cfRule>
  </conditionalFormatting>
  <conditionalFormatting sqref="G7:G8">
    <cfRule type="containsText" dxfId="24" priority="17" operator="containsText" text="Nesplňuje">
      <formula>NOT(ISERROR(SEARCH("Nesplňuje",G7)))</formula>
    </cfRule>
  </conditionalFormatting>
  <conditionalFormatting sqref="G8 G4 I5:L5 H6:L6">
    <cfRule type="containsText" dxfId="23" priority="18" operator="containsText" text="Splňuje">
      <formula>NOT(ISERROR(SEARCH("Splňuje",G4)))</formula>
    </cfRule>
  </conditionalFormatting>
  <conditionalFormatting sqref="G9">
    <cfRule type="containsText" dxfId="22" priority="14" operator="containsText" text="sankc">
      <formula>NOT(ISERROR(SEARCH("sankc",G9)))</formula>
    </cfRule>
    <cfRule type="containsText" dxfId="21" priority="12" operator="containsText" text="podmínka splněna">
      <formula>NOT(ISERROR(SEARCH("podmínka splněna",G9)))</formula>
    </cfRule>
    <cfRule type="containsText" dxfId="20" priority="9" operator="containsText" text="snížení">
      <formula>NOT(ISERROR(SEARCH("snížení",G9)))</formula>
    </cfRule>
    <cfRule type="containsText" dxfId="19" priority="8" operator="containsText" text="splněna">
      <formula>NOT(ISERROR(SEARCH("splněna",G9)))</formula>
    </cfRule>
    <cfRule type="containsText" dxfId="18" priority="7" operator="containsText" text="neposkytne">
      <formula>NOT(ISERROR(SEARCH("neposkytne",G9)))</formula>
    </cfRule>
  </conditionalFormatting>
  <conditionalFormatting sqref="I1 C4 I4:K4 D6:E6">
    <cfRule type="containsText" dxfId="17" priority="36" operator="containsText" text="Splňuje">
      <formula>NOT(ISERROR(SEARCH("Splňuje",C1)))</formula>
    </cfRule>
    <cfRule type="containsText" dxfId="16" priority="37" operator="containsText" text="Nesplňuje">
      <formula>NOT(ISERROR(SEARCH("Nesplňuje",C1)))</formula>
    </cfRule>
  </conditionalFormatting>
  <conditionalFormatting sqref="P4">
    <cfRule type="cellIs" dxfId="15" priority="26" operator="lessThan">
      <formula>0</formula>
    </cfRule>
  </conditionalFormatting>
  <conditionalFormatting sqref="P59">
    <cfRule type="cellIs" dxfId="14" priority="22" operator="lessThan">
      <formula>0</formula>
    </cfRule>
  </conditionalFormatting>
  <pageMargins left="0.31496062992125984" right="0.31496062992125984" top="0.59055118110236227" bottom="0.59055118110236227" header="0.31496062992125984" footer="0.31496062992125984"/>
  <pageSetup paperSize="9" scale="66" fitToWidth="0" orientation="landscape" horizontalDpi="4294967292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75C3E7-ED5D-4896-B457-7DB84252CEF8}">
  <sheetPr>
    <tabColor theme="6" tint="0.39997558519241921"/>
  </sheetPr>
  <dimension ref="B1:V34"/>
  <sheetViews>
    <sheetView showGridLines="0" topLeftCell="A2" zoomScale="90" zoomScaleNormal="90" zoomScaleSheetLayoutView="110" workbookViewId="0">
      <selection activeCell="B5" sqref="B5"/>
    </sheetView>
  </sheetViews>
  <sheetFormatPr defaultRowHeight="15" x14ac:dyDescent="0.25"/>
  <cols>
    <col min="1" max="1" width="1.5703125" customWidth="1"/>
    <col min="2" max="2" width="15.42578125" customWidth="1"/>
    <col min="3" max="4" width="10.28515625" customWidth="1"/>
    <col min="5" max="5" width="15.42578125" customWidth="1"/>
    <col min="6" max="6" width="10.7109375" customWidth="1"/>
    <col min="7" max="7" width="14.7109375" customWidth="1"/>
    <col min="8" max="8" width="17.85546875" customWidth="1"/>
    <col min="9" max="9" width="19.140625" customWidth="1"/>
    <col min="10" max="10" width="14.85546875" customWidth="1"/>
    <col min="11" max="11" width="14.42578125" customWidth="1"/>
    <col min="12" max="12" width="1.85546875" customWidth="1"/>
    <col min="13" max="13" width="15.42578125" customWidth="1"/>
    <col min="14" max="15" width="10.28515625" customWidth="1"/>
    <col min="16" max="16" width="15.42578125" customWidth="1"/>
    <col min="17" max="17" width="10.7109375" customWidth="1"/>
    <col min="18" max="18" width="14.7109375" customWidth="1"/>
    <col min="19" max="19" width="17.85546875" customWidth="1"/>
    <col min="20" max="20" width="19.140625" customWidth="1"/>
    <col min="21" max="21" width="14.85546875" customWidth="1"/>
    <col min="22" max="22" width="14.42578125" customWidth="1"/>
  </cols>
  <sheetData>
    <row r="1" spans="2:22" ht="21.75" customHeight="1" x14ac:dyDescent="0.25">
      <c r="B1" s="985" t="s">
        <v>576</v>
      </c>
      <c r="C1" s="985"/>
      <c r="D1" s="985"/>
      <c r="E1" s="985"/>
      <c r="F1" s="985"/>
      <c r="G1" s="985"/>
      <c r="H1" s="985"/>
      <c r="I1" s="985"/>
      <c r="J1" s="985"/>
      <c r="K1" s="985"/>
      <c r="M1" s="985" t="s">
        <v>578</v>
      </c>
      <c r="N1" s="985"/>
      <c r="O1" s="985"/>
      <c r="P1" s="985"/>
      <c r="Q1" s="985"/>
      <c r="R1" s="985"/>
      <c r="S1" s="985"/>
      <c r="T1" s="985"/>
      <c r="U1" s="985"/>
      <c r="V1" s="985"/>
    </row>
    <row r="2" spans="2:22" x14ac:dyDescent="0.25">
      <c r="B2" s="1" t="s">
        <v>463</v>
      </c>
      <c r="M2" s="1" t="s">
        <v>463</v>
      </c>
    </row>
    <row r="3" spans="2:22" ht="15" customHeight="1" x14ac:dyDescent="0.25">
      <c r="B3" s="986" t="s">
        <v>330</v>
      </c>
      <c r="C3" s="988" t="s">
        <v>331</v>
      </c>
      <c r="D3" s="988" t="s">
        <v>332</v>
      </c>
      <c r="E3" s="988" t="s">
        <v>333</v>
      </c>
      <c r="F3" s="988" t="s">
        <v>334</v>
      </c>
      <c r="G3" s="990" t="s">
        <v>335</v>
      </c>
      <c r="H3" s="991"/>
      <c r="I3" s="992"/>
      <c r="J3" s="988" t="s">
        <v>336</v>
      </c>
      <c r="K3" s="988" t="s">
        <v>337</v>
      </c>
      <c r="M3" s="986" t="s">
        <v>330</v>
      </c>
      <c r="N3" s="988" t="s">
        <v>331</v>
      </c>
      <c r="O3" s="988" t="s">
        <v>332</v>
      </c>
      <c r="P3" s="988" t="s">
        <v>333</v>
      </c>
      <c r="Q3" s="988" t="s">
        <v>334</v>
      </c>
      <c r="R3" s="990" t="s">
        <v>335</v>
      </c>
      <c r="S3" s="991"/>
      <c r="T3" s="992"/>
      <c r="U3" s="988" t="s">
        <v>336</v>
      </c>
      <c r="V3" s="988" t="s">
        <v>337</v>
      </c>
    </row>
    <row r="4" spans="2:22" ht="30" x14ac:dyDescent="0.25">
      <c r="B4" s="987"/>
      <c r="C4" s="989"/>
      <c r="D4" s="989"/>
      <c r="E4" s="989"/>
      <c r="F4" s="989"/>
      <c r="G4" s="219" t="s">
        <v>338</v>
      </c>
      <c r="H4" s="219" t="s">
        <v>339</v>
      </c>
      <c r="I4" s="219" t="s">
        <v>340</v>
      </c>
      <c r="J4" s="989"/>
      <c r="K4" s="989"/>
      <c r="M4" s="987"/>
      <c r="N4" s="989"/>
      <c r="O4" s="989"/>
      <c r="P4" s="989"/>
      <c r="Q4" s="989"/>
      <c r="R4" s="219" t="s">
        <v>338</v>
      </c>
      <c r="S4" s="219" t="s">
        <v>339</v>
      </c>
      <c r="T4" s="219" t="s">
        <v>340</v>
      </c>
      <c r="U4" s="989"/>
      <c r="V4" s="989"/>
    </row>
    <row r="5" spans="2:22" x14ac:dyDescent="0.25">
      <c r="B5" s="279"/>
      <c r="C5" s="280"/>
      <c r="D5" s="281"/>
      <c r="E5" s="282"/>
      <c r="F5" s="281"/>
      <c r="G5" s="281"/>
      <c r="H5" s="281"/>
      <c r="I5" s="281"/>
      <c r="J5" s="283"/>
      <c r="K5" s="283"/>
      <c r="M5" s="279"/>
      <c r="N5" s="280"/>
      <c r="O5" s="281"/>
      <c r="P5" s="282"/>
      <c r="Q5" s="281"/>
      <c r="R5" s="281"/>
      <c r="S5" s="281"/>
      <c r="T5" s="281"/>
      <c r="U5" s="283"/>
      <c r="V5" s="283"/>
    </row>
    <row r="6" spans="2:22" x14ac:dyDescent="0.25">
      <c r="B6" s="279"/>
      <c r="C6" s="280"/>
      <c r="D6" s="281"/>
      <c r="E6" s="282"/>
      <c r="F6" s="281"/>
      <c r="G6" s="281"/>
      <c r="H6" s="281"/>
      <c r="I6" s="281"/>
      <c r="J6" s="283"/>
      <c r="K6" s="283"/>
      <c r="M6" s="279"/>
      <c r="N6" s="280"/>
      <c r="O6" s="281"/>
      <c r="P6" s="282"/>
      <c r="Q6" s="281"/>
      <c r="R6" s="281"/>
      <c r="S6" s="281"/>
      <c r="T6" s="281"/>
      <c r="U6" s="283"/>
      <c r="V6" s="283"/>
    </row>
    <row r="7" spans="2:22" x14ac:dyDescent="0.25">
      <c r="B7" s="279"/>
      <c r="C7" s="280"/>
      <c r="D7" s="281"/>
      <c r="E7" s="282"/>
      <c r="F7" s="281"/>
      <c r="G7" s="281"/>
      <c r="H7" s="281"/>
      <c r="I7" s="281"/>
      <c r="J7" s="283"/>
      <c r="K7" s="283"/>
      <c r="M7" s="279"/>
      <c r="N7" s="280"/>
      <c r="O7" s="281"/>
      <c r="P7" s="282"/>
      <c r="Q7" s="281"/>
      <c r="R7" s="281"/>
      <c r="S7" s="281"/>
      <c r="T7" s="281"/>
      <c r="U7" s="283"/>
      <c r="V7" s="283"/>
    </row>
    <row r="8" spans="2:22" x14ac:dyDescent="0.25">
      <c r="B8" s="279"/>
      <c r="C8" s="280"/>
      <c r="D8" s="281"/>
      <c r="E8" s="282"/>
      <c r="F8" s="281"/>
      <c r="G8" s="281"/>
      <c r="H8" s="281"/>
      <c r="I8" s="281"/>
      <c r="J8" s="283"/>
      <c r="K8" s="283"/>
      <c r="M8" s="279"/>
      <c r="N8" s="280"/>
      <c r="O8" s="281"/>
      <c r="P8" s="282"/>
      <c r="Q8" s="281"/>
      <c r="R8" s="281"/>
      <c r="S8" s="281"/>
      <c r="T8" s="281"/>
      <c r="U8" s="283"/>
      <c r="V8" s="283"/>
    </row>
    <row r="9" spans="2:22" x14ac:dyDescent="0.25">
      <c r="B9" s="279"/>
      <c r="C9" s="280"/>
      <c r="D9" s="281"/>
      <c r="E9" s="282"/>
      <c r="F9" s="281"/>
      <c r="G9" s="281"/>
      <c r="H9" s="281"/>
      <c r="I9" s="281"/>
      <c r="J9" s="283"/>
      <c r="K9" s="283"/>
      <c r="M9" s="279"/>
      <c r="N9" s="280"/>
      <c r="O9" s="281"/>
      <c r="P9" s="282"/>
      <c r="Q9" s="281"/>
      <c r="R9" s="281"/>
      <c r="S9" s="281"/>
      <c r="T9" s="281"/>
      <c r="U9" s="283"/>
      <c r="V9" s="283"/>
    </row>
    <row r="10" spans="2:22" x14ac:dyDescent="0.25">
      <c r="B10" s="279"/>
      <c r="C10" s="280"/>
      <c r="D10" s="281"/>
      <c r="E10" s="282"/>
      <c r="F10" s="281"/>
      <c r="G10" s="281"/>
      <c r="H10" s="281"/>
      <c r="I10" s="281"/>
      <c r="J10" s="283"/>
      <c r="K10" s="283"/>
      <c r="M10" s="279"/>
      <c r="N10" s="280"/>
      <c r="O10" s="281"/>
      <c r="P10" s="282"/>
      <c r="Q10" s="281"/>
      <c r="R10" s="281"/>
      <c r="S10" s="281"/>
      <c r="T10" s="281"/>
      <c r="U10" s="283"/>
      <c r="V10" s="283"/>
    </row>
    <row r="11" spans="2:22" x14ac:dyDescent="0.25">
      <c r="B11" s="279"/>
      <c r="C11" s="280"/>
      <c r="D11" s="281"/>
      <c r="E11" s="282"/>
      <c r="F11" s="281"/>
      <c r="G11" s="281"/>
      <c r="H11" s="281"/>
      <c r="I11" s="281"/>
      <c r="J11" s="283"/>
      <c r="K11" s="283"/>
      <c r="M11" s="279"/>
      <c r="N11" s="280"/>
      <c r="O11" s="281"/>
      <c r="P11" s="282"/>
      <c r="Q11" s="281"/>
      <c r="R11" s="281"/>
      <c r="S11" s="281"/>
      <c r="T11" s="281"/>
      <c r="U11" s="283"/>
      <c r="V11" s="283"/>
    </row>
    <row r="12" spans="2:22" x14ac:dyDescent="0.25">
      <c r="B12" s="279"/>
      <c r="C12" s="280"/>
      <c r="D12" s="281"/>
      <c r="E12" s="282"/>
      <c r="F12" s="281"/>
      <c r="G12" s="281"/>
      <c r="H12" s="281"/>
      <c r="I12" s="281"/>
      <c r="J12" s="283"/>
      <c r="K12" s="283"/>
      <c r="M12" s="279"/>
      <c r="N12" s="280"/>
      <c r="O12" s="281"/>
      <c r="P12" s="282"/>
      <c r="Q12" s="281"/>
      <c r="R12" s="281"/>
      <c r="S12" s="281"/>
      <c r="T12" s="281"/>
      <c r="U12" s="283"/>
      <c r="V12" s="283"/>
    </row>
    <row r="13" spans="2:22" x14ac:dyDescent="0.25">
      <c r="B13" s="279"/>
      <c r="C13" s="280"/>
      <c r="D13" s="281"/>
      <c r="E13" s="282"/>
      <c r="F13" s="281"/>
      <c r="G13" s="281"/>
      <c r="H13" s="281"/>
      <c r="I13" s="281"/>
      <c r="J13" s="283"/>
      <c r="K13" s="283"/>
      <c r="M13" s="279"/>
      <c r="N13" s="280"/>
      <c r="O13" s="281"/>
      <c r="P13" s="282"/>
      <c r="Q13" s="281"/>
      <c r="R13" s="281"/>
      <c r="S13" s="281"/>
      <c r="T13" s="281"/>
      <c r="U13" s="283"/>
      <c r="V13" s="283"/>
    </row>
    <row r="14" spans="2:22" x14ac:dyDescent="0.25">
      <c r="B14" s="279"/>
      <c r="C14" s="280"/>
      <c r="D14" s="281"/>
      <c r="E14" s="282"/>
      <c r="F14" s="281"/>
      <c r="G14" s="281"/>
      <c r="H14" s="281"/>
      <c r="I14" s="281"/>
      <c r="J14" s="283"/>
      <c r="K14" s="283"/>
      <c r="M14" s="279"/>
      <c r="N14" s="280"/>
      <c r="O14" s="281"/>
      <c r="P14" s="282"/>
      <c r="Q14" s="281"/>
      <c r="R14" s="281"/>
      <c r="S14" s="281"/>
      <c r="T14" s="281"/>
      <c r="U14" s="283"/>
      <c r="V14" s="283"/>
    </row>
    <row r="15" spans="2:22" x14ac:dyDescent="0.25">
      <c r="B15" s="279"/>
      <c r="C15" s="280"/>
      <c r="D15" s="281"/>
      <c r="E15" s="282"/>
      <c r="F15" s="281"/>
      <c r="G15" s="281"/>
      <c r="H15" s="281"/>
      <c r="I15" s="281"/>
      <c r="J15" s="283"/>
      <c r="K15" s="283"/>
      <c r="M15" s="279"/>
      <c r="N15" s="280"/>
      <c r="O15" s="281"/>
      <c r="P15" s="282"/>
      <c r="Q15" s="281"/>
      <c r="R15" s="281"/>
      <c r="S15" s="281"/>
      <c r="T15" s="281"/>
      <c r="U15" s="283"/>
      <c r="V15" s="283"/>
    </row>
    <row r="16" spans="2:22" x14ac:dyDescent="0.25">
      <c r="B16" s="279"/>
      <c r="C16" s="280"/>
      <c r="D16" s="281"/>
      <c r="E16" s="282"/>
      <c r="F16" s="281"/>
      <c r="G16" s="281"/>
      <c r="H16" s="281"/>
      <c r="I16" s="281"/>
      <c r="J16" s="283"/>
      <c r="K16" s="283"/>
      <c r="M16" s="279"/>
      <c r="N16" s="280"/>
      <c r="O16" s="281"/>
      <c r="P16" s="282"/>
      <c r="Q16" s="281"/>
      <c r="R16" s="281"/>
      <c r="S16" s="281"/>
      <c r="T16" s="281"/>
      <c r="U16" s="283"/>
      <c r="V16" s="283"/>
    </row>
    <row r="17" spans="2:22" x14ac:dyDescent="0.25">
      <c r="B17" s="279"/>
      <c r="C17" s="280"/>
      <c r="D17" s="281"/>
      <c r="E17" s="282"/>
      <c r="F17" s="281"/>
      <c r="G17" s="281"/>
      <c r="H17" s="281"/>
      <c r="I17" s="281"/>
      <c r="J17" s="283"/>
      <c r="K17" s="283"/>
      <c r="M17" s="279"/>
      <c r="N17" s="280"/>
      <c r="O17" s="281"/>
      <c r="P17" s="282"/>
      <c r="Q17" s="281"/>
      <c r="R17" s="281"/>
      <c r="S17" s="281"/>
      <c r="T17" s="281"/>
      <c r="U17" s="283"/>
      <c r="V17" s="283"/>
    </row>
    <row r="18" spans="2:22" x14ac:dyDescent="0.25">
      <c r="B18" s="279"/>
      <c r="C18" s="280"/>
      <c r="D18" s="281"/>
      <c r="E18" s="282"/>
      <c r="F18" s="281"/>
      <c r="G18" s="281"/>
      <c r="H18" s="281"/>
      <c r="I18" s="281"/>
      <c r="J18" s="283"/>
      <c r="K18" s="283"/>
      <c r="M18" s="279"/>
      <c r="N18" s="280"/>
      <c r="O18" s="281"/>
      <c r="P18" s="282"/>
      <c r="Q18" s="281"/>
      <c r="R18" s="281"/>
      <c r="S18" s="281"/>
      <c r="T18" s="281"/>
      <c r="U18" s="283"/>
      <c r="V18" s="283"/>
    </row>
    <row r="19" spans="2:22" x14ac:dyDescent="0.25">
      <c r="B19" s="279"/>
      <c r="C19" s="280"/>
      <c r="D19" s="281"/>
      <c r="E19" s="282"/>
      <c r="F19" s="281"/>
      <c r="G19" s="281"/>
      <c r="H19" s="281"/>
      <c r="I19" s="281"/>
      <c r="J19" s="283"/>
      <c r="K19" s="283"/>
      <c r="M19" s="279"/>
      <c r="N19" s="280"/>
      <c r="O19" s="281"/>
      <c r="P19" s="282"/>
      <c r="Q19" s="281"/>
      <c r="R19" s="281"/>
      <c r="S19" s="281"/>
      <c r="T19" s="281"/>
      <c r="U19" s="283"/>
      <c r="V19" s="283"/>
    </row>
    <row r="20" spans="2:22" x14ac:dyDescent="0.25">
      <c r="B20" s="279"/>
      <c r="C20" s="280"/>
      <c r="D20" s="281"/>
      <c r="E20" s="282"/>
      <c r="F20" s="281"/>
      <c r="G20" s="281"/>
      <c r="H20" s="281"/>
      <c r="I20" s="281"/>
      <c r="J20" s="283"/>
      <c r="K20" s="283"/>
      <c r="M20" s="279"/>
      <c r="N20" s="280"/>
      <c r="O20" s="281"/>
      <c r="P20" s="282"/>
      <c r="Q20" s="281"/>
      <c r="R20" s="281"/>
      <c r="S20" s="281"/>
      <c r="T20" s="281"/>
      <c r="U20" s="283"/>
      <c r="V20" s="283"/>
    </row>
    <row r="21" spans="2:22" x14ac:dyDescent="0.25">
      <c r="B21" s="279"/>
      <c r="C21" s="280"/>
      <c r="D21" s="281"/>
      <c r="E21" s="282"/>
      <c r="F21" s="281"/>
      <c r="G21" s="281"/>
      <c r="H21" s="281"/>
      <c r="I21" s="281"/>
      <c r="J21" s="283"/>
      <c r="K21" s="283"/>
      <c r="M21" s="279"/>
      <c r="N21" s="280"/>
      <c r="O21" s="281"/>
      <c r="P21" s="282"/>
      <c r="Q21" s="281"/>
      <c r="R21" s="281"/>
      <c r="S21" s="281"/>
      <c r="T21" s="281"/>
      <c r="U21" s="283"/>
      <c r="V21" s="283"/>
    </row>
    <row r="22" spans="2:22" x14ac:dyDescent="0.25">
      <c r="B22" s="279"/>
      <c r="C22" s="280"/>
      <c r="D22" s="281"/>
      <c r="E22" s="282"/>
      <c r="F22" s="281"/>
      <c r="G22" s="281"/>
      <c r="H22" s="281"/>
      <c r="I22" s="281"/>
      <c r="J22" s="283"/>
      <c r="K22" s="283"/>
      <c r="M22" s="279"/>
      <c r="N22" s="280"/>
      <c r="O22" s="281"/>
      <c r="P22" s="282"/>
      <c r="Q22" s="281"/>
      <c r="R22" s="281"/>
      <c r="S22" s="281"/>
      <c r="T22" s="281"/>
      <c r="U22" s="283"/>
      <c r="V22" s="283"/>
    </row>
    <row r="23" spans="2:22" x14ac:dyDescent="0.25">
      <c r="B23" s="279"/>
      <c r="C23" s="280"/>
      <c r="D23" s="281"/>
      <c r="E23" s="282"/>
      <c r="F23" s="281"/>
      <c r="G23" s="281"/>
      <c r="H23" s="281"/>
      <c r="I23" s="281"/>
      <c r="J23" s="283"/>
      <c r="K23" s="283"/>
      <c r="M23" s="279"/>
      <c r="N23" s="280"/>
      <c r="O23" s="281"/>
      <c r="P23" s="282"/>
      <c r="Q23" s="281"/>
      <c r="R23" s="281"/>
      <c r="S23" s="281"/>
      <c r="T23" s="281"/>
      <c r="U23" s="283"/>
      <c r="V23" s="283"/>
    </row>
    <row r="24" spans="2:22" x14ac:dyDescent="0.25">
      <c r="B24" s="279"/>
      <c r="C24" s="280"/>
      <c r="D24" s="281"/>
      <c r="E24" s="282"/>
      <c r="F24" s="281"/>
      <c r="G24" s="281"/>
      <c r="H24" s="281"/>
      <c r="I24" s="281"/>
      <c r="J24" s="283"/>
      <c r="K24" s="283"/>
      <c r="M24" s="279"/>
      <c r="N24" s="280"/>
      <c r="O24" s="281"/>
      <c r="P24" s="282"/>
      <c r="Q24" s="281"/>
      <c r="R24" s="281"/>
      <c r="S24" s="281"/>
      <c r="T24" s="281"/>
      <c r="U24" s="283"/>
      <c r="V24" s="283"/>
    </row>
    <row r="25" spans="2:22" x14ac:dyDescent="0.25">
      <c r="B25" s="279"/>
      <c r="C25" s="280"/>
      <c r="D25" s="281"/>
      <c r="E25" s="282"/>
      <c r="F25" s="281"/>
      <c r="G25" s="281"/>
      <c r="H25" s="281"/>
      <c r="I25" s="281"/>
      <c r="J25" s="283"/>
      <c r="K25" s="283"/>
      <c r="M25" s="279"/>
      <c r="N25" s="280"/>
      <c r="O25" s="281"/>
      <c r="P25" s="282"/>
      <c r="Q25" s="281"/>
      <c r="R25" s="281"/>
      <c r="S25" s="281"/>
      <c r="T25" s="281"/>
      <c r="U25" s="283"/>
      <c r="V25" s="283"/>
    </row>
    <row r="26" spans="2:22" x14ac:dyDescent="0.25">
      <c r="B26" s="279"/>
      <c r="C26" s="280"/>
      <c r="D26" s="281"/>
      <c r="E26" s="282"/>
      <c r="F26" s="281"/>
      <c r="G26" s="281"/>
      <c r="H26" s="281"/>
      <c r="I26" s="281"/>
      <c r="J26" s="283"/>
      <c r="K26" s="283"/>
      <c r="M26" s="279"/>
      <c r="N26" s="280"/>
      <c r="O26" s="281"/>
      <c r="P26" s="282"/>
      <c r="Q26" s="281"/>
      <c r="R26" s="281"/>
      <c r="S26" s="281"/>
      <c r="T26" s="281"/>
      <c r="U26" s="283"/>
      <c r="V26" s="283"/>
    </row>
    <row r="27" spans="2:22" x14ac:dyDescent="0.25">
      <c r="B27" s="284" t="s">
        <v>175</v>
      </c>
      <c r="C27" s="285"/>
      <c r="D27" s="285"/>
      <c r="E27" s="285"/>
      <c r="F27" s="247">
        <f>SUM(F5:F26)</f>
        <v>0</v>
      </c>
      <c r="G27" s="247">
        <f>SUM(G5:G26)</f>
        <v>0</v>
      </c>
      <c r="H27" s="247">
        <f>SUM(H5:H26)</f>
        <v>0</v>
      </c>
      <c r="I27" s="247">
        <f>SUM(I5:I26)</f>
        <v>0</v>
      </c>
      <c r="M27" s="284" t="s">
        <v>175</v>
      </c>
      <c r="N27" s="285"/>
      <c r="O27" s="285"/>
      <c r="P27" s="285"/>
      <c r="Q27" s="247">
        <f>SUM(Q5:Q26)</f>
        <v>0</v>
      </c>
      <c r="R27" s="247">
        <f>SUM(R5:R26)</f>
        <v>0</v>
      </c>
      <c r="S27" s="247">
        <f>SUM(S5:S26)</f>
        <v>0</v>
      </c>
      <c r="T27" s="247">
        <f>SUM(T5:T26)</f>
        <v>0</v>
      </c>
    </row>
    <row r="28" spans="2:22" x14ac:dyDescent="0.25">
      <c r="B28" s="1"/>
      <c r="C28" s="1"/>
      <c r="D28" s="1"/>
      <c r="E28" s="1"/>
      <c r="F28" s="1"/>
      <c r="G28" s="156"/>
      <c r="H28" s="156"/>
      <c r="I28" s="156"/>
      <c r="J28" s="173"/>
      <c r="K28" s="173"/>
      <c r="L28" s="173"/>
      <c r="M28" s="1"/>
      <c r="N28" s="1"/>
      <c r="O28" s="1"/>
      <c r="P28" s="1"/>
      <c r="Q28" s="1"/>
      <c r="R28" s="156"/>
      <c r="S28" s="156"/>
      <c r="T28" s="156"/>
      <c r="U28" s="173"/>
      <c r="V28" s="173"/>
    </row>
    <row r="29" spans="2:22" x14ac:dyDescent="0.25">
      <c r="B29" s="2" t="s">
        <v>577</v>
      </c>
      <c r="C29" s="2"/>
      <c r="D29" s="2"/>
      <c r="E29" s="2"/>
      <c r="F29" s="2"/>
      <c r="G29" s="225"/>
      <c r="H29" s="225"/>
      <c r="I29" s="225"/>
      <c r="J29" s="174"/>
      <c r="K29" s="174"/>
      <c r="L29" s="174"/>
      <c r="M29" s="2" t="s">
        <v>579</v>
      </c>
      <c r="N29" s="2"/>
      <c r="O29" s="2"/>
      <c r="P29" s="2"/>
      <c r="Q29" s="2"/>
      <c r="R29" s="225"/>
      <c r="S29" s="225"/>
      <c r="T29" s="225"/>
      <c r="U29" s="174"/>
      <c r="V29" s="174"/>
    </row>
    <row r="30" spans="2:22" ht="30" customHeight="1" x14ac:dyDescent="0.25">
      <c r="B30" s="248" t="s">
        <v>341</v>
      </c>
      <c r="C30" s="249"/>
      <c r="D30" s="249"/>
      <c r="E30" s="249"/>
      <c r="F30" s="250" t="s">
        <v>342</v>
      </c>
      <c r="G30" s="980" t="s">
        <v>343</v>
      </c>
      <c r="H30" s="980"/>
      <c r="I30" s="980"/>
      <c r="M30" s="248" t="s">
        <v>341</v>
      </c>
      <c r="N30" s="249"/>
      <c r="O30" s="249"/>
      <c r="P30" s="249"/>
      <c r="Q30" s="250" t="s">
        <v>342</v>
      </c>
      <c r="R30" s="980" t="s">
        <v>343</v>
      </c>
      <c r="S30" s="980"/>
      <c r="T30" s="980"/>
    </row>
    <row r="31" spans="2:22" x14ac:dyDescent="0.25">
      <c r="B31" s="251" t="s">
        <v>344</v>
      </c>
      <c r="C31" s="252"/>
      <c r="D31" s="252"/>
      <c r="E31" s="252"/>
      <c r="F31" s="253">
        <f>F27</f>
        <v>0</v>
      </c>
      <c r="G31" s="981">
        <f>G27+H27+I27</f>
        <v>0</v>
      </c>
      <c r="H31" s="981"/>
      <c r="I31" s="981"/>
      <c r="M31" s="251" t="s">
        <v>344</v>
      </c>
      <c r="N31" s="252"/>
      <c r="O31" s="252"/>
      <c r="P31" s="252"/>
      <c r="Q31" s="253">
        <f>Q27</f>
        <v>0</v>
      </c>
      <c r="R31" s="981">
        <f>R27+S27+T27</f>
        <v>0</v>
      </c>
      <c r="S31" s="981"/>
      <c r="T31" s="981"/>
    </row>
    <row r="32" spans="2:22" x14ac:dyDescent="0.25">
      <c r="B32" s="251" t="s">
        <v>593</v>
      </c>
      <c r="C32" s="252"/>
      <c r="D32" s="252"/>
      <c r="E32" s="252"/>
      <c r="F32" s="253">
        <f>'OH25'!C54</f>
        <v>0</v>
      </c>
      <c r="G32" s="981">
        <f>'OH25'!C55</f>
        <v>0</v>
      </c>
      <c r="H32" s="981"/>
      <c r="I32" s="981"/>
      <c r="M32" s="251" t="s">
        <v>594</v>
      </c>
      <c r="N32" s="252"/>
      <c r="O32" s="252"/>
      <c r="P32" s="252"/>
      <c r="Q32" s="253">
        <f>'OH26'!C54</f>
        <v>0</v>
      </c>
      <c r="R32" s="981">
        <f>'OH26'!C55</f>
        <v>0</v>
      </c>
      <c r="S32" s="981"/>
      <c r="T32" s="981"/>
    </row>
    <row r="33" spans="2:21" x14ac:dyDescent="0.25">
      <c r="B33" s="254" t="s">
        <v>345</v>
      </c>
      <c r="C33" s="255"/>
      <c r="D33" s="255"/>
      <c r="E33" s="255"/>
      <c r="F33" s="256">
        <f>F31-F32</f>
        <v>0</v>
      </c>
      <c r="G33" s="982">
        <f>G31-G32</f>
        <v>0</v>
      </c>
      <c r="H33" s="982"/>
      <c r="I33" s="982"/>
      <c r="M33" s="254" t="s">
        <v>345</v>
      </c>
      <c r="N33" s="255"/>
      <c r="O33" s="255"/>
      <c r="P33" s="255"/>
      <c r="Q33" s="256">
        <f>Q31-Q32</f>
        <v>0</v>
      </c>
      <c r="R33" s="982">
        <f>R31-R32</f>
        <v>0</v>
      </c>
      <c r="S33" s="982"/>
      <c r="T33" s="982"/>
    </row>
    <row r="34" spans="2:21" x14ac:dyDescent="0.25">
      <c r="B34" s="983" t="str">
        <f>IF(F33&lt;0,"nesoulad výměry technologií",IF(F33=0,"","nesoulad výměry technologií"))</f>
        <v/>
      </c>
      <c r="C34" s="983"/>
      <c r="D34" s="983"/>
      <c r="E34" s="983"/>
      <c r="F34" s="983"/>
      <c r="G34" s="984" t="str">
        <f>IF(G33&lt;0,"nesoulad výměry technologií",IF(G33=0,"","nesoulad výměry technologií"))</f>
        <v/>
      </c>
      <c r="H34" s="984"/>
      <c r="I34" s="984"/>
      <c r="J34" s="226"/>
      <c r="M34" s="983" t="str">
        <f>IF(Q33&lt;0,"nesoulad výměry technologií",IF(Q33=0,"","nesoulad výměry technologií"))</f>
        <v/>
      </c>
      <c r="N34" s="983"/>
      <c r="O34" s="983"/>
      <c r="P34" s="983"/>
      <c r="Q34" s="983"/>
      <c r="R34" s="984" t="str">
        <f>IF(R33&lt;0,"nesoulad výměry technologií",IF(R33=0,"","nesoulad výměry technologií"))</f>
        <v/>
      </c>
      <c r="S34" s="984"/>
      <c r="T34" s="984"/>
      <c r="U34" s="226"/>
    </row>
  </sheetData>
  <sheetProtection algorithmName="SHA-512" hashValue="beD86L9Zl61txRNqvXCXZV5QXajItRoL9f+jQYvVLXMCVpwvfCAKXW2KbsYAfR2pTdqBmKBS99CsplknO3vOyQ==" saltValue="R64FwRumlVHczi/VIvf80g==" spinCount="100000" sheet="1" formatCells="0" formatColumns="0" formatRows="0" insertRows="0"/>
  <mergeCells count="30">
    <mergeCell ref="G30:I30"/>
    <mergeCell ref="G31:I31"/>
    <mergeCell ref="G32:I32"/>
    <mergeCell ref="G33:I33"/>
    <mergeCell ref="B34:F34"/>
    <mergeCell ref="G34:I34"/>
    <mergeCell ref="B1:K1"/>
    <mergeCell ref="B3:B4"/>
    <mergeCell ref="C3:C4"/>
    <mergeCell ref="D3:D4"/>
    <mergeCell ref="E3:E4"/>
    <mergeCell ref="F3:F4"/>
    <mergeCell ref="G3:I3"/>
    <mergeCell ref="J3:J4"/>
    <mergeCell ref="K3:K4"/>
    <mergeCell ref="M1:V1"/>
    <mergeCell ref="M3:M4"/>
    <mergeCell ref="N3:N4"/>
    <mergeCell ref="O3:O4"/>
    <mergeCell ref="P3:P4"/>
    <mergeCell ref="Q3:Q4"/>
    <mergeCell ref="R3:T3"/>
    <mergeCell ref="U3:U4"/>
    <mergeCell ref="V3:V4"/>
    <mergeCell ref="R30:T30"/>
    <mergeCell ref="R31:T31"/>
    <mergeCell ref="R32:T32"/>
    <mergeCell ref="R33:T33"/>
    <mergeCell ref="M34:Q34"/>
    <mergeCell ref="R34:T34"/>
  </mergeCells>
  <conditionalFormatting sqref="B34 G34:J34">
    <cfRule type="containsText" dxfId="13" priority="4" operator="containsText" text="nesoulad">
      <formula>NOT(ISERROR(SEARCH("nesoulad",B34)))</formula>
    </cfRule>
  </conditionalFormatting>
  <conditionalFormatting sqref="G34:I34">
    <cfRule type="containsText" dxfId="12" priority="3" operator="containsText" text="nesoula">
      <formula>NOT(ISERROR(SEARCH("nesoula",G34)))</formula>
    </cfRule>
  </conditionalFormatting>
  <conditionalFormatting sqref="M34 R34:U34">
    <cfRule type="containsText" dxfId="11" priority="2" operator="containsText" text="nesoulad">
      <formula>NOT(ISERROR(SEARCH("nesoulad",M34)))</formula>
    </cfRule>
  </conditionalFormatting>
  <conditionalFormatting sqref="R34:T34">
    <cfRule type="containsText" dxfId="10" priority="1" operator="containsText" text="nesoula">
      <formula>NOT(ISERROR(SEARCH("nesoula",R34)))</formula>
    </cfRule>
  </conditionalFormatting>
  <pageMargins left="0.62992125984251968" right="0.62992125984251968" top="0.74803149606299213" bottom="0.74803149606299213" header="0.31496062992125984" footer="0.31496062992125984"/>
  <pageSetup paperSize="9" scale="90" fitToHeight="0" orientation="landscape" horizontalDpi="4294967292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002C54-0900-496B-B081-E4E52712972A}">
  <sheetPr>
    <tabColor theme="6" tint="0.39997558519241921"/>
    <pageSetUpPr fitToPage="1"/>
  </sheetPr>
  <dimension ref="B1:N65"/>
  <sheetViews>
    <sheetView showGridLines="0" zoomScale="90" zoomScaleNormal="90" zoomScaleSheetLayoutView="110" workbookViewId="0">
      <selection activeCell="C3" sqref="C3:I3"/>
    </sheetView>
  </sheetViews>
  <sheetFormatPr defaultRowHeight="15" x14ac:dyDescent="0.25"/>
  <cols>
    <col min="1" max="1" width="1.5703125" customWidth="1"/>
    <col min="2" max="2" width="17.7109375" customWidth="1"/>
    <col min="3" max="4" width="10.28515625" customWidth="1"/>
    <col min="5" max="5" width="15.42578125" customWidth="1"/>
    <col min="6" max="6" width="10.7109375" customWidth="1"/>
    <col min="7" max="7" width="14.7109375" customWidth="1"/>
    <col min="8" max="8" width="17.85546875" customWidth="1"/>
    <col min="9" max="9" width="19.140625" customWidth="1"/>
    <col min="10" max="10" width="14.85546875" customWidth="1"/>
    <col min="11" max="11" width="14.42578125" customWidth="1"/>
    <col min="13" max="13" width="11.85546875" customWidth="1"/>
    <col min="14" max="16" width="17" customWidth="1"/>
  </cols>
  <sheetData>
    <row r="1" spans="2:11" ht="21.75" customHeight="1" x14ac:dyDescent="0.25">
      <c r="B1" s="985" t="s">
        <v>440</v>
      </c>
      <c r="C1" s="985"/>
      <c r="D1" s="985"/>
      <c r="E1" s="985"/>
      <c r="F1" s="985"/>
      <c r="G1" s="985"/>
      <c r="H1" s="985"/>
      <c r="I1" s="985"/>
      <c r="J1" s="985"/>
      <c r="K1" s="985"/>
    </row>
    <row r="2" spans="2:11" ht="21.6" customHeight="1" x14ac:dyDescent="0.25">
      <c r="B2" s="993" t="s">
        <v>277</v>
      </c>
      <c r="C2" s="993"/>
      <c r="D2" s="993"/>
      <c r="E2" s="993"/>
      <c r="F2" s="993"/>
      <c r="G2" s="993"/>
      <c r="H2" s="993"/>
      <c r="I2" s="993"/>
      <c r="J2" s="993"/>
      <c r="K2" s="993"/>
    </row>
    <row r="3" spans="2:11" ht="31.5" customHeight="1" x14ac:dyDescent="0.25">
      <c r="B3" s="218" t="s">
        <v>278</v>
      </c>
      <c r="C3" s="871" t="str">
        <f>IF('OH25'!C2=0,"",'OH25'!C2)</f>
        <v/>
      </c>
      <c r="D3" s="908"/>
      <c r="E3" s="908"/>
      <c r="F3" s="908"/>
      <c r="G3" s="908"/>
      <c r="H3" s="908"/>
      <c r="I3" s="996"/>
      <c r="J3" s="217" t="s">
        <v>346</v>
      </c>
      <c r="K3" s="228" t="str">
        <f>IF('OH25'!G2=0,"",'OH25'!G2)</f>
        <v/>
      </c>
    </row>
    <row r="4" spans="2:11" ht="15.95" customHeight="1" x14ac:dyDescent="0.25">
      <c r="B4" s="218" t="s">
        <v>74</v>
      </c>
      <c r="C4" s="871" t="s">
        <v>206</v>
      </c>
      <c r="D4" s="908"/>
      <c r="E4" s="908"/>
      <c r="F4" s="908"/>
      <c r="G4" s="908"/>
      <c r="H4" s="908"/>
      <c r="I4" s="908"/>
      <c r="J4" s="908"/>
      <c r="K4" s="996"/>
    </row>
    <row r="5" spans="2:11" ht="8.1" customHeight="1" x14ac:dyDescent="0.25">
      <c r="B5" s="172"/>
      <c r="C5" s="172"/>
      <c r="D5" s="172"/>
      <c r="E5" s="172"/>
      <c r="F5" s="172"/>
      <c r="G5" s="172"/>
      <c r="H5" s="172"/>
      <c r="I5" s="172"/>
      <c r="J5" s="172"/>
      <c r="K5" s="172"/>
    </row>
    <row r="6" spans="2:11" ht="15.95" customHeight="1" x14ac:dyDescent="0.25">
      <c r="B6" s="993" t="s">
        <v>279</v>
      </c>
      <c r="C6" s="993"/>
      <c r="D6" s="993"/>
      <c r="E6" s="993"/>
      <c r="F6" s="993"/>
      <c r="G6" s="993"/>
      <c r="H6" s="993"/>
      <c r="I6" s="993"/>
      <c r="J6" s="993"/>
      <c r="K6" s="993"/>
    </row>
    <row r="7" spans="2:11" ht="15.95" customHeight="1" x14ac:dyDescent="0.25">
      <c r="B7" s="909" t="s">
        <v>412</v>
      </c>
      <c r="C7" s="910"/>
      <c r="D7" s="910"/>
      <c r="E7" s="910"/>
      <c r="F7" s="910"/>
      <c r="G7" s="910"/>
      <c r="H7" s="994"/>
      <c r="I7" s="217" t="s">
        <v>280</v>
      </c>
      <c r="J7" s="995" t="s">
        <v>281</v>
      </c>
      <c r="K7" s="995"/>
    </row>
    <row r="8" spans="2:11" ht="15.95" customHeight="1" x14ac:dyDescent="0.25">
      <c r="B8" s="871" t="s">
        <v>282</v>
      </c>
      <c r="C8" s="908"/>
      <c r="D8" s="908"/>
      <c r="E8" s="908"/>
      <c r="F8" s="908"/>
      <c r="G8" s="908"/>
      <c r="H8" s="996"/>
      <c r="I8" s="239" t="str">
        <f>IF('OH25'!C8=0,"",'OH25'!C8)</f>
        <v/>
      </c>
      <c r="J8" s="995"/>
      <c r="K8" s="995"/>
    </row>
    <row r="9" spans="2:11" ht="15.95" customHeight="1" x14ac:dyDescent="0.25">
      <c r="B9" s="871" t="s">
        <v>283</v>
      </c>
      <c r="C9" s="908"/>
      <c r="D9" s="908"/>
      <c r="E9" s="908"/>
      <c r="F9" s="908"/>
      <c r="G9" s="908"/>
      <c r="H9" s="996"/>
      <c r="I9" s="240" t="str">
        <f>IF('OH25'!C9=0,"",'OH25'!C9)</f>
        <v/>
      </c>
      <c r="J9" s="997">
        <v>0.3</v>
      </c>
      <c r="K9" s="998"/>
    </row>
    <row r="10" spans="2:11" ht="15.95" customHeight="1" x14ac:dyDescent="0.25">
      <c r="B10" s="871" t="s">
        <v>284</v>
      </c>
      <c r="C10" s="908"/>
      <c r="D10" s="908"/>
      <c r="E10" s="908"/>
      <c r="F10" s="908"/>
      <c r="G10" s="908"/>
      <c r="H10" s="996"/>
      <c r="I10" s="240" t="str">
        <f>IF(('OH25'!C9+'OH25'!C11=0),I8,'OH25'!C8-'OH25'!C9-'OH25'!C11)</f>
        <v/>
      </c>
      <c r="J10" s="997">
        <v>0.35</v>
      </c>
      <c r="K10" s="998"/>
    </row>
    <row r="11" spans="2:11" ht="15.95" customHeight="1" x14ac:dyDescent="0.25">
      <c r="B11" s="871" t="s">
        <v>285</v>
      </c>
      <c r="C11" s="908"/>
      <c r="D11" s="908"/>
      <c r="E11" s="908"/>
      <c r="F11" s="908"/>
      <c r="G11" s="908"/>
      <c r="H11" s="996"/>
      <c r="I11" s="240" t="str">
        <f>IF('OH25'!C11=0,"",'OH25'!C11)</f>
        <v/>
      </c>
      <c r="J11" s="997">
        <v>0.3</v>
      </c>
      <c r="K11" s="998"/>
    </row>
    <row r="12" spans="2:11" ht="15.95" customHeight="1" x14ac:dyDescent="0.25">
      <c r="B12" s="871" t="s">
        <v>286</v>
      </c>
      <c r="C12" s="908"/>
      <c r="D12" s="908"/>
      <c r="E12" s="908"/>
      <c r="F12" s="908"/>
      <c r="G12" s="908"/>
      <c r="H12" s="908"/>
      <c r="I12" s="996"/>
      <c r="J12" s="997" t="str">
        <f>'OH25'!P8</f>
        <v/>
      </c>
      <c r="K12" s="998"/>
    </row>
    <row r="13" spans="2:11" ht="15.95" customHeight="1" x14ac:dyDescent="0.25">
      <c r="B13" s="909" t="s">
        <v>287</v>
      </c>
      <c r="C13" s="910"/>
      <c r="D13" s="910"/>
      <c r="E13" s="910"/>
      <c r="F13" s="910"/>
      <c r="G13" s="910"/>
      <c r="H13" s="910"/>
      <c r="I13" s="994"/>
      <c r="J13" s="999" t="str">
        <f>IF(I8="","",J12*I8)</f>
        <v/>
      </c>
      <c r="K13" s="1000"/>
    </row>
    <row r="14" spans="2:11" ht="9" customHeight="1" x14ac:dyDescent="0.25">
      <c r="B14" s="172"/>
      <c r="C14" s="172"/>
      <c r="D14" s="172"/>
      <c r="E14" s="172"/>
      <c r="F14" s="172"/>
      <c r="G14" s="172"/>
      <c r="H14" s="172"/>
      <c r="I14" s="172"/>
      <c r="J14" s="172"/>
      <c r="K14" s="172"/>
    </row>
    <row r="15" spans="2:11" ht="15.95" customHeight="1" x14ac:dyDescent="0.25">
      <c r="B15" s="993" t="s">
        <v>288</v>
      </c>
      <c r="C15" s="993"/>
      <c r="D15" s="993"/>
      <c r="E15" s="993"/>
      <c r="F15" s="993"/>
      <c r="G15" s="993"/>
      <c r="H15" s="993"/>
      <c r="I15" s="993"/>
      <c r="J15" s="993"/>
      <c r="K15" s="993"/>
    </row>
    <row r="16" spans="2:11" ht="32.1" customHeight="1" x14ac:dyDescent="0.25">
      <c r="B16" s="909" t="s">
        <v>413</v>
      </c>
      <c r="C16" s="910"/>
      <c r="D16" s="910"/>
      <c r="E16" s="910"/>
      <c r="F16" s="910"/>
      <c r="G16" s="994"/>
      <c r="H16" s="217" t="s">
        <v>289</v>
      </c>
      <c r="I16" s="217" t="s">
        <v>290</v>
      </c>
      <c r="J16" s="995" t="s">
        <v>291</v>
      </c>
      <c r="K16" s="995"/>
    </row>
    <row r="17" spans="2:11" ht="32.1" customHeight="1" x14ac:dyDescent="0.25">
      <c r="B17" s="871" t="s">
        <v>414</v>
      </c>
      <c r="C17" s="908"/>
      <c r="D17" s="908"/>
      <c r="E17" s="908"/>
      <c r="F17" s="908"/>
      <c r="G17" s="996"/>
      <c r="H17" s="241">
        <v>0.45</v>
      </c>
      <c r="I17" s="240" t="str">
        <f>IF('OH25'!C14+'OH25'!C16=0,"",'OH25'!C14+'OH25'!C16)</f>
        <v/>
      </c>
      <c r="J17" s="1001" t="str">
        <f>IF(I17="","",H17*I17)</f>
        <v/>
      </c>
      <c r="K17" s="1001"/>
    </row>
    <row r="18" spans="2:11" ht="17.25" customHeight="1" x14ac:dyDescent="0.25">
      <c r="B18" s="871" t="s">
        <v>415</v>
      </c>
      <c r="C18" s="908"/>
      <c r="D18" s="908"/>
      <c r="E18" s="908"/>
      <c r="F18" s="908"/>
      <c r="G18" s="996"/>
      <c r="H18" s="241">
        <v>0.25</v>
      </c>
      <c r="I18" s="240" t="str">
        <f>IF('OH25'!C15+'OH25'!C17=0,"",'OH25'!C15+'OH25'!C17)</f>
        <v/>
      </c>
      <c r="J18" s="1001" t="str">
        <f>IF(I18="","",H18*I18)</f>
        <v/>
      </c>
      <c r="K18" s="1001"/>
    </row>
    <row r="19" spans="2:11" ht="17.25" customHeight="1" x14ac:dyDescent="0.25">
      <c r="B19" s="871" t="s">
        <v>292</v>
      </c>
      <c r="C19" s="908"/>
      <c r="D19" s="908"/>
      <c r="E19" s="908"/>
      <c r="F19" s="908"/>
      <c r="G19" s="996"/>
      <c r="H19" s="241">
        <v>-0.9</v>
      </c>
      <c r="I19" s="240" t="str">
        <f>IF('OH25'!C18=0,"",'OH25'!C18)</f>
        <v/>
      </c>
      <c r="J19" s="1001" t="str">
        <f>IF(I19="","",H19*I19)</f>
        <v/>
      </c>
      <c r="K19" s="1001"/>
    </row>
    <row r="20" spans="2:11" ht="17.25" customHeight="1" x14ac:dyDescent="0.25">
      <c r="B20" s="871" t="s">
        <v>293</v>
      </c>
      <c r="C20" s="908"/>
      <c r="D20" s="908"/>
      <c r="E20" s="908"/>
      <c r="F20" s="908"/>
      <c r="G20" s="996"/>
      <c r="H20" s="241">
        <v>-0.7</v>
      </c>
      <c r="I20" s="240" t="str">
        <f>IF('OH25'!C19=0,"",'OH25'!C19)</f>
        <v/>
      </c>
      <c r="J20" s="1001" t="str">
        <f>IF(I20="","",H20*I20)</f>
        <v/>
      </c>
      <c r="K20" s="1001"/>
    </row>
    <row r="21" spans="2:11" ht="15.95" customHeight="1" x14ac:dyDescent="0.25">
      <c r="B21" s="909" t="s">
        <v>294</v>
      </c>
      <c r="C21" s="910"/>
      <c r="D21" s="910"/>
      <c r="E21" s="910"/>
      <c r="F21" s="910"/>
      <c r="G21" s="910"/>
      <c r="H21" s="910"/>
      <c r="I21" s="994"/>
      <c r="J21" s="1002" t="str">
        <f>IF(I8="","",SUM(J17:K20))</f>
        <v/>
      </c>
      <c r="K21" s="1002"/>
    </row>
    <row r="22" spans="2:11" ht="15.95" customHeight="1" x14ac:dyDescent="0.25">
      <c r="B22" s="871" t="s">
        <v>295</v>
      </c>
      <c r="C22" s="908"/>
      <c r="D22" s="908"/>
      <c r="E22" s="908"/>
      <c r="F22" s="908"/>
      <c r="G22" s="908"/>
      <c r="H22" s="908"/>
      <c r="I22" s="996"/>
      <c r="J22" s="1001" t="str">
        <f>J13</f>
        <v/>
      </c>
      <c r="K22" s="1001"/>
    </row>
    <row r="23" spans="2:11" ht="15.95" customHeight="1" x14ac:dyDescent="0.25">
      <c r="B23" s="909" t="s">
        <v>296</v>
      </c>
      <c r="C23" s="910"/>
      <c r="D23" s="910"/>
      <c r="E23" s="910"/>
      <c r="F23" s="910"/>
      <c r="G23" s="910"/>
      <c r="H23" s="910"/>
      <c r="I23" s="994"/>
      <c r="J23" s="1002" t="str">
        <f>IF(I8="","",J21+J22)</f>
        <v/>
      </c>
      <c r="K23" s="1002"/>
    </row>
    <row r="24" spans="2:11" ht="6" customHeight="1" x14ac:dyDescent="0.25">
      <c r="B24" s="172"/>
      <c r="C24" s="172"/>
      <c r="D24" s="172"/>
      <c r="E24" s="172"/>
      <c r="F24" s="172"/>
      <c r="G24" s="172"/>
      <c r="H24" s="172"/>
      <c r="I24" s="172"/>
      <c r="J24" s="172"/>
      <c r="K24" s="172"/>
    </row>
    <row r="25" spans="2:11" ht="15.95" customHeight="1" x14ac:dyDescent="0.25">
      <c r="B25" s="993" t="s">
        <v>297</v>
      </c>
      <c r="C25" s="993"/>
      <c r="D25" s="993"/>
      <c r="E25" s="993"/>
      <c r="F25" s="993"/>
      <c r="G25" s="993"/>
      <c r="H25" s="993"/>
      <c r="I25" s="993"/>
      <c r="J25" s="993"/>
      <c r="K25" s="993"/>
    </row>
    <row r="26" spans="2:11" ht="32.1" customHeight="1" x14ac:dyDescent="0.25">
      <c r="B26" s="909" t="s">
        <v>416</v>
      </c>
      <c r="C26" s="910"/>
      <c r="D26" s="910"/>
      <c r="E26" s="910"/>
      <c r="F26" s="910"/>
      <c r="G26" s="994"/>
      <c r="H26" s="217" t="s">
        <v>298</v>
      </c>
      <c r="I26" s="217" t="s">
        <v>289</v>
      </c>
      <c r="J26" s="217" t="s">
        <v>299</v>
      </c>
      <c r="K26" s="217" t="s">
        <v>300</v>
      </c>
    </row>
    <row r="27" spans="2:11" ht="15.95" customHeight="1" x14ac:dyDescent="0.25">
      <c r="B27" s="871" t="s">
        <v>301</v>
      </c>
      <c r="C27" s="908"/>
      <c r="D27" s="908"/>
      <c r="E27" s="908"/>
      <c r="F27" s="908"/>
      <c r="G27" s="996"/>
      <c r="H27" s="244">
        <v>30</v>
      </c>
      <c r="I27" s="240">
        <v>1</v>
      </c>
      <c r="J27" s="245" t="str">
        <f>IF('OH25'!C23=0,"",'OH25'!C23)</f>
        <v/>
      </c>
      <c r="K27" s="242" t="str">
        <f>IF(J27="","",J27/H27*I27)</f>
        <v/>
      </c>
    </row>
    <row r="28" spans="2:11" ht="15.95" customHeight="1" x14ac:dyDescent="0.25">
      <c r="B28" s="871" t="s">
        <v>302</v>
      </c>
      <c r="C28" s="908"/>
      <c r="D28" s="908"/>
      <c r="E28" s="908"/>
      <c r="F28" s="908"/>
      <c r="G28" s="996"/>
      <c r="H28" s="244">
        <v>25</v>
      </c>
      <c r="I28" s="240">
        <v>0.75</v>
      </c>
      <c r="J28" s="245" t="str">
        <f>IF('OH25'!C24=0,"",'OH25'!C24)</f>
        <v/>
      </c>
      <c r="K28" s="242" t="str">
        <f t="shared" ref="K28:K42" si="0">IF(J28="","",J28/H28*I28)</f>
        <v/>
      </c>
    </row>
    <row r="29" spans="2:11" ht="15.95" customHeight="1" x14ac:dyDescent="0.25">
      <c r="B29" s="871" t="s">
        <v>303</v>
      </c>
      <c r="C29" s="908"/>
      <c r="D29" s="908"/>
      <c r="E29" s="908"/>
      <c r="F29" s="908"/>
      <c r="G29" s="996"/>
      <c r="H29" s="244">
        <v>15</v>
      </c>
      <c r="I29" s="240">
        <v>1</v>
      </c>
      <c r="J29" s="245" t="str">
        <f>IF('OH25'!C25=0,"",'OH25'!C25)</f>
        <v/>
      </c>
      <c r="K29" s="242" t="str">
        <f t="shared" si="0"/>
        <v/>
      </c>
    </row>
    <row r="30" spans="2:11" ht="15.95" customHeight="1" x14ac:dyDescent="0.25">
      <c r="B30" s="871" t="s">
        <v>304</v>
      </c>
      <c r="C30" s="908"/>
      <c r="D30" s="908"/>
      <c r="E30" s="908"/>
      <c r="F30" s="908"/>
      <c r="G30" s="996"/>
      <c r="H30" s="244">
        <v>15</v>
      </c>
      <c r="I30" s="240">
        <v>0.65</v>
      </c>
      <c r="J30" s="245" t="str">
        <f>IF('OH25'!C26=0,"",'OH25'!C26)</f>
        <v/>
      </c>
      <c r="K30" s="242" t="str">
        <f t="shared" si="0"/>
        <v/>
      </c>
    </row>
    <row r="31" spans="2:11" ht="15.95" customHeight="1" x14ac:dyDescent="0.25">
      <c r="B31" s="871" t="s">
        <v>305</v>
      </c>
      <c r="C31" s="908"/>
      <c r="D31" s="908"/>
      <c r="E31" s="908"/>
      <c r="F31" s="908"/>
      <c r="G31" s="996"/>
      <c r="H31" s="244">
        <v>5</v>
      </c>
      <c r="I31" s="240">
        <v>0.4</v>
      </c>
      <c r="J31" s="245" t="str">
        <f>IF('OH25'!C27=0,"",'OH25'!C27)</f>
        <v/>
      </c>
      <c r="K31" s="242" t="str">
        <f t="shared" si="0"/>
        <v/>
      </c>
    </row>
    <row r="32" spans="2:11" ht="15.95" customHeight="1" x14ac:dyDescent="0.25">
      <c r="B32" s="871" t="s">
        <v>306</v>
      </c>
      <c r="C32" s="908"/>
      <c r="D32" s="908"/>
      <c r="E32" s="908"/>
      <c r="F32" s="908"/>
      <c r="G32" s="996"/>
      <c r="H32" s="244">
        <v>20</v>
      </c>
      <c r="I32" s="240">
        <v>0.18</v>
      </c>
      <c r="J32" s="245" t="str">
        <f>IF('OH25'!C28=0,"",'OH25'!C28)</f>
        <v/>
      </c>
      <c r="K32" s="242" t="str">
        <f t="shared" si="0"/>
        <v/>
      </c>
    </row>
    <row r="33" spans="2:11" ht="15.95" customHeight="1" x14ac:dyDescent="0.25">
      <c r="B33" s="871" t="s">
        <v>94</v>
      </c>
      <c r="C33" s="908"/>
      <c r="D33" s="908"/>
      <c r="E33" s="908"/>
      <c r="F33" s="908"/>
      <c r="G33" s="996"/>
      <c r="H33" s="244">
        <v>20</v>
      </c>
      <c r="I33" s="240">
        <v>0.15</v>
      </c>
      <c r="J33" s="245" t="str">
        <f>IF('OH25'!C29=0,"",'OH25'!C29)</f>
        <v/>
      </c>
      <c r="K33" s="242" t="str">
        <f t="shared" si="0"/>
        <v/>
      </c>
    </row>
    <row r="34" spans="2:11" ht="15.95" customHeight="1" x14ac:dyDescent="0.25">
      <c r="B34" s="871" t="s">
        <v>307</v>
      </c>
      <c r="C34" s="908"/>
      <c r="D34" s="908"/>
      <c r="E34" s="908"/>
      <c r="F34" s="908"/>
      <c r="G34" s="996"/>
      <c r="H34" s="244">
        <v>20</v>
      </c>
      <c r="I34" s="240">
        <v>0.1</v>
      </c>
      <c r="J34" s="245" t="str">
        <f>IF('OH25'!C30=0,"",'OH25'!C30)</f>
        <v/>
      </c>
      <c r="K34" s="242" t="str">
        <f t="shared" si="0"/>
        <v/>
      </c>
    </row>
    <row r="35" spans="2:11" ht="15.95" customHeight="1" x14ac:dyDescent="0.25">
      <c r="B35" s="871" t="s">
        <v>96</v>
      </c>
      <c r="C35" s="908"/>
      <c r="D35" s="908"/>
      <c r="E35" s="908"/>
      <c r="F35" s="908"/>
      <c r="G35" s="996"/>
      <c r="H35" s="244">
        <v>20</v>
      </c>
      <c r="I35" s="240">
        <v>7.0000000000000007E-2</v>
      </c>
      <c r="J35" s="245" t="str">
        <f>IF('OH25'!C31=0,"",'OH25'!C31)</f>
        <v/>
      </c>
      <c r="K35" s="242" t="str">
        <f t="shared" si="0"/>
        <v/>
      </c>
    </row>
    <row r="36" spans="2:11" ht="15.95" customHeight="1" x14ac:dyDescent="0.25">
      <c r="B36" s="871" t="s">
        <v>308</v>
      </c>
      <c r="C36" s="908"/>
      <c r="D36" s="908"/>
      <c r="E36" s="908"/>
      <c r="F36" s="908"/>
      <c r="G36" s="996"/>
      <c r="H36" s="244">
        <v>20</v>
      </c>
      <c r="I36" s="240">
        <v>0.15</v>
      </c>
      <c r="J36" s="245" t="str">
        <f>IF('OH25'!C32=0,"",'OH25'!C32)</f>
        <v/>
      </c>
      <c r="K36" s="242" t="str">
        <f t="shared" si="0"/>
        <v/>
      </c>
    </row>
    <row r="37" spans="2:11" ht="15.95" customHeight="1" x14ac:dyDescent="0.25">
      <c r="B37" s="871" t="s">
        <v>98</v>
      </c>
      <c r="C37" s="908"/>
      <c r="D37" s="908"/>
      <c r="E37" s="908"/>
      <c r="F37" s="908"/>
      <c r="G37" s="996"/>
      <c r="H37" s="244">
        <v>20</v>
      </c>
      <c r="I37" s="240">
        <v>0.1</v>
      </c>
      <c r="J37" s="245" t="str">
        <f>IF('OH25'!C33=0,"",'OH25'!C33)</f>
        <v/>
      </c>
      <c r="K37" s="242" t="str">
        <f t="shared" si="0"/>
        <v/>
      </c>
    </row>
    <row r="38" spans="2:11" ht="15.95" customHeight="1" x14ac:dyDescent="0.25">
      <c r="B38" s="871" t="s">
        <v>309</v>
      </c>
      <c r="C38" s="908"/>
      <c r="D38" s="908"/>
      <c r="E38" s="908"/>
      <c r="F38" s="908"/>
      <c r="G38" s="996"/>
      <c r="H38" s="244">
        <v>5</v>
      </c>
      <c r="I38" s="240">
        <v>0.15</v>
      </c>
      <c r="J38" s="245" t="str">
        <f>IF('OH25'!C34=0,"",'OH25'!C34)</f>
        <v/>
      </c>
      <c r="K38" s="242" t="str">
        <f t="shared" si="0"/>
        <v/>
      </c>
    </row>
    <row r="39" spans="2:11" ht="15.95" customHeight="1" x14ac:dyDescent="0.25">
      <c r="B39" s="871" t="s">
        <v>310</v>
      </c>
      <c r="C39" s="908"/>
      <c r="D39" s="908"/>
      <c r="E39" s="908"/>
      <c r="F39" s="908"/>
      <c r="G39" s="996"/>
      <c r="H39" s="244">
        <v>20</v>
      </c>
      <c r="I39" s="240">
        <v>0.1</v>
      </c>
      <c r="J39" s="245" t="str">
        <f>IF('OH25'!C35=0,"",'OH25'!C35)</f>
        <v/>
      </c>
      <c r="K39" s="242" t="str">
        <f t="shared" si="0"/>
        <v/>
      </c>
    </row>
    <row r="40" spans="2:11" ht="15.95" customHeight="1" x14ac:dyDescent="0.25">
      <c r="B40" s="871" t="s">
        <v>311</v>
      </c>
      <c r="C40" s="908"/>
      <c r="D40" s="908"/>
      <c r="E40" s="908"/>
      <c r="F40" s="908"/>
      <c r="G40" s="996"/>
      <c r="H40" s="244">
        <v>5</v>
      </c>
      <c r="I40" s="240">
        <v>0.3</v>
      </c>
      <c r="J40" s="245" t="str">
        <f>IF('OH25'!C36=0,"",'OH25'!C36)</f>
        <v/>
      </c>
      <c r="K40" s="242" t="str">
        <f t="shared" si="0"/>
        <v/>
      </c>
    </row>
    <row r="41" spans="2:11" ht="15.95" customHeight="1" x14ac:dyDescent="0.25">
      <c r="B41" s="871" t="s">
        <v>7</v>
      </c>
      <c r="C41" s="908"/>
      <c r="D41" s="908"/>
      <c r="E41" s="908"/>
      <c r="F41" s="908"/>
      <c r="G41" s="996"/>
      <c r="H41" s="244">
        <v>5</v>
      </c>
      <c r="I41" s="240">
        <v>0.17</v>
      </c>
      <c r="J41" s="245" t="str">
        <f>IF('OH25'!C37=0,"",'OH25'!C37)</f>
        <v/>
      </c>
      <c r="K41" s="242" t="str">
        <f t="shared" si="0"/>
        <v/>
      </c>
    </row>
    <row r="42" spans="2:11" ht="15.95" customHeight="1" x14ac:dyDescent="0.25">
      <c r="B42" s="871" t="s">
        <v>312</v>
      </c>
      <c r="C42" s="908"/>
      <c r="D42" s="908"/>
      <c r="E42" s="908"/>
      <c r="F42" s="908"/>
      <c r="G42" s="996"/>
      <c r="H42" s="244">
        <v>5</v>
      </c>
      <c r="I42" s="240">
        <v>0.13</v>
      </c>
      <c r="J42" s="245" t="str">
        <f>IF('OH25'!C38=0,"",'OH25'!C38)</f>
        <v/>
      </c>
      <c r="K42" s="242" t="str">
        <f t="shared" si="0"/>
        <v/>
      </c>
    </row>
    <row r="43" spans="2:11" ht="15.95" customHeight="1" x14ac:dyDescent="0.25">
      <c r="B43" s="909" t="s">
        <v>175</v>
      </c>
      <c r="C43" s="910"/>
      <c r="D43" s="910"/>
      <c r="E43" s="910"/>
      <c r="F43" s="910"/>
      <c r="G43" s="910"/>
      <c r="H43" s="910"/>
      <c r="I43" s="910"/>
      <c r="J43" s="994"/>
      <c r="K43" s="243" t="str">
        <f>IF(I8="","",SUM(K27:K42))</f>
        <v/>
      </c>
    </row>
    <row r="44" spans="2:11" ht="10.7" customHeight="1" x14ac:dyDescent="0.25">
      <c r="B44" s="172"/>
      <c r="C44" s="172"/>
      <c r="D44" s="172"/>
      <c r="E44" s="172"/>
      <c r="F44" s="172"/>
      <c r="G44" s="172"/>
      <c r="H44" s="172"/>
      <c r="I44" s="172"/>
      <c r="J44" s="172"/>
      <c r="K44" s="172"/>
    </row>
    <row r="45" spans="2:11" ht="15.95" customHeight="1" x14ac:dyDescent="0.25">
      <c r="B45" s="993" t="s">
        <v>313</v>
      </c>
      <c r="C45" s="993"/>
      <c r="D45" s="993"/>
      <c r="E45" s="993"/>
      <c r="F45" s="993"/>
      <c r="G45" s="993"/>
      <c r="H45" s="993"/>
      <c r="I45" s="993"/>
      <c r="J45" s="993"/>
      <c r="K45" s="993"/>
    </row>
    <row r="46" spans="2:11" ht="31.35" customHeight="1" x14ac:dyDescent="0.25">
      <c r="B46" s="852" t="s">
        <v>417</v>
      </c>
      <c r="C46" s="852"/>
      <c r="D46" s="852"/>
      <c r="E46" s="852"/>
      <c r="F46" s="852"/>
      <c r="G46" s="852"/>
      <c r="H46" s="852"/>
      <c r="I46" s="217" t="s">
        <v>289</v>
      </c>
      <c r="J46" s="217" t="s">
        <v>290</v>
      </c>
      <c r="K46" s="217" t="s">
        <v>314</v>
      </c>
    </row>
    <row r="47" spans="2:11" ht="44.45" customHeight="1" x14ac:dyDescent="0.25">
      <c r="B47" s="853" t="s">
        <v>315</v>
      </c>
      <c r="C47" s="853"/>
      <c r="D47" s="853"/>
      <c r="E47" s="853"/>
      <c r="F47" s="853"/>
      <c r="G47" s="853"/>
      <c r="H47" s="853"/>
      <c r="I47" s="240">
        <v>0.5</v>
      </c>
      <c r="J47" s="242" t="str">
        <f>IF('OH25'!C42+'OH25'!C43=0,"",'OH25'!C42+'OH25'!C43)</f>
        <v/>
      </c>
      <c r="K47" s="242" t="str">
        <f>IF(J47="","",I47*J47)</f>
        <v/>
      </c>
    </row>
    <row r="48" spans="2:11" ht="27.6" customHeight="1" x14ac:dyDescent="0.25">
      <c r="B48" s="853" t="s">
        <v>316</v>
      </c>
      <c r="C48" s="853"/>
      <c r="D48" s="853"/>
      <c r="E48" s="853"/>
      <c r="F48" s="853"/>
      <c r="G48" s="853"/>
      <c r="H48" s="853"/>
      <c r="I48" s="240">
        <v>0.1</v>
      </c>
      <c r="J48" s="242" t="str">
        <f>IF('OH25'!C44=0,"",'OH25'!C44)</f>
        <v/>
      </c>
      <c r="K48" s="242" t="str">
        <f t="shared" ref="K48:K57" si="1">IF(J48="","",I48*J48)</f>
        <v/>
      </c>
    </row>
    <row r="49" spans="2:14" ht="15.95" customHeight="1" x14ac:dyDescent="0.25">
      <c r="B49" s="853" t="s">
        <v>398</v>
      </c>
      <c r="C49" s="853"/>
      <c r="D49" s="853"/>
      <c r="E49" s="853"/>
      <c r="F49" s="853"/>
      <c r="G49" s="853"/>
      <c r="H49" s="853"/>
      <c r="I49" s="240">
        <v>0.25</v>
      </c>
      <c r="J49" s="242" t="str">
        <f>IF('OH25'!C45+'OH25'!C46=0,"",'OH25'!C45+'OH25'!C46)</f>
        <v/>
      </c>
      <c r="K49" s="242" t="str">
        <f t="shared" si="1"/>
        <v/>
      </c>
    </row>
    <row r="50" spans="2:14" ht="15.95" customHeight="1" x14ac:dyDescent="0.25">
      <c r="B50" s="853" t="s">
        <v>317</v>
      </c>
      <c r="C50" s="853"/>
      <c r="D50" s="853"/>
      <c r="E50" s="853"/>
      <c r="F50" s="853"/>
      <c r="G50" s="853"/>
      <c r="H50" s="853"/>
      <c r="I50" s="240">
        <v>0.2</v>
      </c>
      <c r="J50" s="242" t="str">
        <f>IF('OH25'!C47=0,"",'OH25'!C47)</f>
        <v/>
      </c>
      <c r="K50" s="242" t="str">
        <f t="shared" si="1"/>
        <v/>
      </c>
    </row>
    <row r="51" spans="2:14" ht="15.95" customHeight="1" x14ac:dyDescent="0.25">
      <c r="B51" s="853" t="s">
        <v>318</v>
      </c>
      <c r="C51" s="853"/>
      <c r="D51" s="853"/>
      <c r="E51" s="853"/>
      <c r="F51" s="853"/>
      <c r="G51" s="853"/>
      <c r="H51" s="853"/>
      <c r="I51" s="240">
        <v>0.2</v>
      </c>
      <c r="J51" s="242" t="str">
        <f>IF('OH25'!C48=0,"",'OH25'!C48)</f>
        <v/>
      </c>
      <c r="K51" s="242" t="str">
        <f t="shared" si="1"/>
        <v/>
      </c>
    </row>
    <row r="52" spans="2:14" ht="15.95" customHeight="1" x14ac:dyDescent="0.25">
      <c r="B52" s="853" t="s">
        <v>319</v>
      </c>
      <c r="C52" s="853"/>
      <c r="D52" s="853"/>
      <c r="E52" s="853"/>
      <c r="F52" s="853"/>
      <c r="G52" s="853"/>
      <c r="H52" s="853"/>
      <c r="I52" s="240">
        <v>0.35</v>
      </c>
      <c r="J52" s="242" t="str">
        <f>IF('OH25'!C49=0,"",'OH25'!C49)</f>
        <v/>
      </c>
      <c r="K52" s="242" t="str">
        <f t="shared" si="1"/>
        <v/>
      </c>
    </row>
    <row r="53" spans="2:14" ht="15.95" customHeight="1" x14ac:dyDescent="0.25">
      <c r="B53" s="853" t="s">
        <v>320</v>
      </c>
      <c r="C53" s="853"/>
      <c r="D53" s="853"/>
      <c r="E53" s="853"/>
      <c r="F53" s="853"/>
      <c r="G53" s="853"/>
      <c r="H53" s="853"/>
      <c r="I53" s="240">
        <v>0.2</v>
      </c>
      <c r="J53" s="242" t="str">
        <f>IF('OH25'!C50=0,"",'OH25'!C50)</f>
        <v/>
      </c>
      <c r="K53" s="242" t="str">
        <f t="shared" si="1"/>
        <v/>
      </c>
    </row>
    <row r="54" spans="2:14" ht="15.95" customHeight="1" x14ac:dyDescent="0.25">
      <c r="B54" s="853" t="s">
        <v>321</v>
      </c>
      <c r="C54" s="853"/>
      <c r="D54" s="853"/>
      <c r="E54" s="853"/>
      <c r="F54" s="853"/>
      <c r="G54" s="853"/>
      <c r="H54" s="853"/>
      <c r="I54" s="240">
        <v>0.45</v>
      </c>
      <c r="J54" s="242" t="str">
        <f>IF('OH25'!C52=0,"",'OH25'!C52)</f>
        <v/>
      </c>
      <c r="K54" s="242" t="str">
        <f t="shared" si="1"/>
        <v/>
      </c>
    </row>
    <row r="55" spans="2:14" ht="15.95" customHeight="1" x14ac:dyDescent="0.25">
      <c r="B55" s="853" t="s">
        <v>322</v>
      </c>
      <c r="C55" s="853"/>
      <c r="D55" s="853"/>
      <c r="E55" s="853"/>
      <c r="F55" s="853"/>
      <c r="G55" s="853"/>
      <c r="H55" s="853"/>
      <c r="I55" s="240">
        <v>0.1</v>
      </c>
      <c r="J55" s="242" t="str">
        <f>IF('OH25'!C51+'OH25'!C53=0,"",'OH25'!C51+'OH25'!C53)</f>
        <v/>
      </c>
      <c r="K55" s="242" t="str">
        <f t="shared" si="1"/>
        <v/>
      </c>
    </row>
    <row r="56" spans="2:14" ht="15.95" customHeight="1" x14ac:dyDescent="0.25">
      <c r="B56" s="853" t="s">
        <v>323</v>
      </c>
      <c r="C56" s="853"/>
      <c r="D56" s="853"/>
      <c r="E56" s="853"/>
      <c r="F56" s="853"/>
      <c r="G56" s="853"/>
      <c r="H56" s="853"/>
      <c r="I56" s="240">
        <v>0.2</v>
      </c>
      <c r="J56" s="242" t="str">
        <f>IF('OH25'!C54=0,"",'OH25'!C54)</f>
        <v/>
      </c>
      <c r="K56" s="242" t="str">
        <f t="shared" si="1"/>
        <v/>
      </c>
    </row>
    <row r="57" spans="2:14" ht="15.95" customHeight="1" x14ac:dyDescent="0.25">
      <c r="B57" s="853" t="s">
        <v>324</v>
      </c>
      <c r="C57" s="853"/>
      <c r="D57" s="853"/>
      <c r="E57" s="853"/>
      <c r="F57" s="853"/>
      <c r="G57" s="853"/>
      <c r="H57" s="853"/>
      <c r="I57" s="240">
        <v>0.2</v>
      </c>
      <c r="J57" s="242" t="str">
        <f>IF('OH25'!C55=0,"",'OH25'!C55)</f>
        <v/>
      </c>
      <c r="K57" s="242" t="str">
        <f t="shared" si="1"/>
        <v/>
      </c>
    </row>
    <row r="58" spans="2:14" ht="15.95" customHeight="1" x14ac:dyDescent="0.25">
      <c r="B58" s="909" t="s">
        <v>175</v>
      </c>
      <c r="C58" s="910"/>
      <c r="D58" s="910"/>
      <c r="E58" s="910"/>
      <c r="F58" s="910"/>
      <c r="G58" s="910"/>
      <c r="H58" s="910"/>
      <c r="I58" s="910"/>
      <c r="J58" s="994"/>
      <c r="K58" s="243" t="str">
        <f>IF(I8="","",SUM(K47:K57))</f>
        <v/>
      </c>
    </row>
    <row r="59" spans="2:14" ht="10.35" customHeight="1" x14ac:dyDescent="0.25">
      <c r="B59" s="172"/>
      <c r="C59" s="172"/>
      <c r="D59" s="172"/>
      <c r="E59" s="172"/>
      <c r="F59" s="172"/>
      <c r="G59" s="172"/>
      <c r="H59" s="172"/>
      <c r="I59" s="172"/>
      <c r="J59" s="172"/>
      <c r="K59" s="172"/>
    </row>
    <row r="60" spans="2:14" ht="15.95" customHeight="1" x14ac:dyDescent="0.25">
      <c r="B60" s="993" t="s">
        <v>325</v>
      </c>
      <c r="C60" s="993"/>
      <c r="D60" s="993"/>
      <c r="E60" s="993"/>
      <c r="F60" s="993"/>
      <c r="G60" s="993"/>
      <c r="H60" s="993"/>
      <c r="I60" s="993"/>
      <c r="J60" s="993"/>
      <c r="K60" s="993"/>
    </row>
    <row r="61" spans="2:14" ht="42" customHeight="1" x14ac:dyDescent="0.25">
      <c r="B61" s="852" t="s">
        <v>76</v>
      </c>
      <c r="C61" s="852"/>
      <c r="D61" s="852"/>
      <c r="E61" s="852"/>
      <c r="F61" s="852"/>
      <c r="G61" s="852"/>
      <c r="H61" s="852"/>
      <c r="I61" s="852"/>
      <c r="J61" s="217" t="s">
        <v>314</v>
      </c>
      <c r="K61" s="219" t="s">
        <v>326</v>
      </c>
    </row>
    <row r="62" spans="2:14" ht="15.95" customHeight="1" x14ac:dyDescent="0.25">
      <c r="B62" s="853" t="s">
        <v>327</v>
      </c>
      <c r="C62" s="853"/>
      <c r="D62" s="853"/>
      <c r="E62" s="853"/>
      <c r="F62" s="853"/>
      <c r="G62" s="853"/>
      <c r="H62" s="853"/>
      <c r="I62" s="853"/>
      <c r="J62" s="242" t="str">
        <f>IF(I8="","",K43+K58)</f>
        <v/>
      </c>
      <c r="K62" s="217"/>
      <c r="M62" s="215"/>
      <c r="N62" s="216"/>
    </row>
    <row r="63" spans="2:14" ht="15.95" customHeight="1" x14ac:dyDescent="0.25">
      <c r="B63" s="853" t="s">
        <v>328</v>
      </c>
      <c r="C63" s="853"/>
      <c r="D63" s="853"/>
      <c r="E63" s="853"/>
      <c r="F63" s="853"/>
      <c r="G63" s="853"/>
      <c r="H63" s="853"/>
      <c r="I63" s="853"/>
      <c r="J63" s="242" t="str">
        <f>J23</f>
        <v/>
      </c>
      <c r="K63" s="217"/>
      <c r="M63" s="215"/>
      <c r="N63" s="216"/>
    </row>
    <row r="64" spans="2:14" ht="28.7" customHeight="1" x14ac:dyDescent="0.25">
      <c r="B64" s="852" t="s">
        <v>329</v>
      </c>
      <c r="C64" s="852"/>
      <c r="D64" s="852"/>
      <c r="E64" s="852"/>
      <c r="F64" s="852"/>
      <c r="G64" s="852"/>
      <c r="H64" s="852"/>
      <c r="I64" s="852"/>
      <c r="J64" s="243" t="str">
        <f>IF(I8="","",J62-J63)</f>
        <v/>
      </c>
      <c r="K64" s="246" t="str">
        <f>IF(I8="","",IF(J65="podmínka splněna","",'OH25'!G8*-1))</f>
        <v/>
      </c>
    </row>
    <row r="65" spans="10:10" ht="29.25" customHeight="1" x14ac:dyDescent="0.25">
      <c r="J65" s="224" t="str">
        <f>'OH25'!G9</f>
        <v/>
      </c>
    </row>
  </sheetData>
  <sheetProtection algorithmName="SHA-512" hashValue="k19ewWeqlvi9pirTUjY6e8CJa1Rq7mdGU/P1Hq6/nkMAy8OrTvAS1z+VOqSJUlOhupmd1IGTGXKzoZ3LsRUAEg==" saltValue="wnaXS6dcyFojHyE60aW//g==" spinCount="100000" sheet="1" formatCells="0" formatColumns="0" formatRows="0"/>
  <mergeCells count="73">
    <mergeCell ref="B60:K60"/>
    <mergeCell ref="B61:I61"/>
    <mergeCell ref="B62:I62"/>
    <mergeCell ref="B63:I63"/>
    <mergeCell ref="B64:I64"/>
    <mergeCell ref="B54:H54"/>
    <mergeCell ref="B55:H55"/>
    <mergeCell ref="B56:H56"/>
    <mergeCell ref="B57:H57"/>
    <mergeCell ref="B58:J58"/>
    <mergeCell ref="B53:H53"/>
    <mergeCell ref="B41:G41"/>
    <mergeCell ref="B42:G42"/>
    <mergeCell ref="B43:J43"/>
    <mergeCell ref="B45:K45"/>
    <mergeCell ref="B46:H46"/>
    <mergeCell ref="B47:H47"/>
    <mergeCell ref="B48:H48"/>
    <mergeCell ref="B49:H49"/>
    <mergeCell ref="B50:H50"/>
    <mergeCell ref="B51:H51"/>
    <mergeCell ref="B52:H52"/>
    <mergeCell ref="B40:G40"/>
    <mergeCell ref="B29:G29"/>
    <mergeCell ref="B30:G30"/>
    <mergeCell ref="B31:G31"/>
    <mergeCell ref="B32:G32"/>
    <mergeCell ref="B33:G33"/>
    <mergeCell ref="B34:G34"/>
    <mergeCell ref="B35:G35"/>
    <mergeCell ref="B36:G36"/>
    <mergeCell ref="B37:G37"/>
    <mergeCell ref="B38:G38"/>
    <mergeCell ref="B39:G39"/>
    <mergeCell ref="B28:G28"/>
    <mergeCell ref="B20:G20"/>
    <mergeCell ref="J20:K20"/>
    <mergeCell ref="B21:I21"/>
    <mergeCell ref="J21:K21"/>
    <mergeCell ref="B22:I22"/>
    <mergeCell ref="J22:K22"/>
    <mergeCell ref="B23:I23"/>
    <mergeCell ref="J23:K23"/>
    <mergeCell ref="B25:K25"/>
    <mergeCell ref="B26:G26"/>
    <mergeCell ref="B27:G27"/>
    <mergeCell ref="B17:G17"/>
    <mergeCell ref="J17:K17"/>
    <mergeCell ref="B18:G18"/>
    <mergeCell ref="J18:K18"/>
    <mergeCell ref="B19:G19"/>
    <mergeCell ref="J19:K19"/>
    <mergeCell ref="B16:G16"/>
    <mergeCell ref="J16:K16"/>
    <mergeCell ref="B9:H9"/>
    <mergeCell ref="J9:K9"/>
    <mergeCell ref="B10:H10"/>
    <mergeCell ref="J10:K10"/>
    <mergeCell ref="B11:H11"/>
    <mergeCell ref="J11:K11"/>
    <mergeCell ref="B12:I12"/>
    <mergeCell ref="J12:K12"/>
    <mergeCell ref="B13:I13"/>
    <mergeCell ref="J13:K13"/>
    <mergeCell ref="B15:K15"/>
    <mergeCell ref="B1:K1"/>
    <mergeCell ref="B2:K2"/>
    <mergeCell ref="B6:K6"/>
    <mergeCell ref="B7:H7"/>
    <mergeCell ref="J7:K8"/>
    <mergeCell ref="B8:H8"/>
    <mergeCell ref="C3:I3"/>
    <mergeCell ref="C4:K4"/>
  </mergeCells>
  <conditionalFormatting sqref="J65">
    <cfRule type="containsText" dxfId="9" priority="3" operator="containsText" text="neposkytne">
      <formula>NOT(ISERROR(SEARCH("neposkytne",J65)))</formula>
    </cfRule>
    <cfRule type="containsText" dxfId="8" priority="4" operator="containsText" text="snížení">
      <formula>NOT(ISERROR(SEARCH("snížení",J65)))</formula>
    </cfRule>
    <cfRule type="containsText" dxfId="7" priority="5" operator="containsText" text="nesplněna">
      <formula>NOT(ISERROR(SEARCH("nesplněna",J65)))</formula>
    </cfRule>
    <cfRule type="containsText" dxfId="6" priority="7" operator="containsText" text="požadavek splněn">
      <formula>NOT(ISERROR(SEARCH("požadavek splněn",J65)))</formula>
    </cfRule>
  </conditionalFormatting>
  <conditionalFormatting sqref="J65:K65">
    <cfRule type="containsText" dxfId="5" priority="6" operator="containsText" text="splněna">
      <formula>NOT(ISERROR(SEARCH("splněna",J65)))</formula>
    </cfRule>
  </conditionalFormatting>
  <pageMargins left="0.62992125984251968" right="0.62992125984251968" top="0.74803149606299213" bottom="0.74803149606299213" header="0.31496062992125984" footer="0.31496062992125984"/>
  <pageSetup paperSize="9" scale="91" fitToHeight="0" orientation="landscape" horizontalDpi="4294967292" r:id="rId1"/>
  <rowBreaks count="2" manualBreakCount="2">
    <brk id="24" max="16383" man="1"/>
    <brk id="44" max="16383" man="1"/>
  </row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3BCD4E-9793-476F-9756-045720AA65F6}">
  <sheetPr>
    <tabColor theme="6" tint="0.39997558519241921"/>
    <pageSetUpPr fitToPage="1"/>
  </sheetPr>
  <dimension ref="B1:N65"/>
  <sheetViews>
    <sheetView showGridLines="0" zoomScale="90" zoomScaleNormal="90" zoomScaleSheetLayoutView="110" workbookViewId="0">
      <selection activeCell="C3" sqref="C3:I3"/>
    </sheetView>
  </sheetViews>
  <sheetFormatPr defaultRowHeight="15" x14ac:dyDescent="0.25"/>
  <cols>
    <col min="1" max="1" width="1.5703125" customWidth="1"/>
    <col min="2" max="2" width="17.7109375" customWidth="1"/>
    <col min="3" max="4" width="10.28515625" customWidth="1"/>
    <col min="5" max="5" width="15.42578125" customWidth="1"/>
    <col min="6" max="6" width="10.7109375" customWidth="1"/>
    <col min="7" max="7" width="14.7109375" customWidth="1"/>
    <col min="8" max="8" width="17.85546875" customWidth="1"/>
    <col min="9" max="9" width="19.140625" customWidth="1"/>
    <col min="10" max="10" width="14.85546875" customWidth="1"/>
    <col min="11" max="11" width="14.42578125" customWidth="1"/>
    <col min="13" max="13" width="11.85546875" customWidth="1"/>
    <col min="14" max="16" width="17" customWidth="1"/>
  </cols>
  <sheetData>
    <row r="1" spans="2:11" ht="21.75" customHeight="1" x14ac:dyDescent="0.25">
      <c r="B1" s="985" t="s">
        <v>595</v>
      </c>
      <c r="C1" s="985"/>
      <c r="D1" s="985"/>
      <c r="E1" s="985"/>
      <c r="F1" s="985"/>
      <c r="G1" s="985"/>
      <c r="H1" s="985"/>
      <c r="I1" s="985"/>
      <c r="J1" s="985"/>
      <c r="K1" s="985"/>
    </row>
    <row r="2" spans="2:11" ht="21.6" customHeight="1" x14ac:dyDescent="0.25">
      <c r="B2" s="993" t="s">
        <v>277</v>
      </c>
      <c r="C2" s="993"/>
      <c r="D2" s="993"/>
      <c r="E2" s="993"/>
      <c r="F2" s="993"/>
      <c r="G2" s="993"/>
      <c r="H2" s="993"/>
      <c r="I2" s="993"/>
      <c r="J2" s="993"/>
      <c r="K2" s="993"/>
    </row>
    <row r="3" spans="2:11" ht="31.5" customHeight="1" x14ac:dyDescent="0.25">
      <c r="B3" s="218" t="s">
        <v>278</v>
      </c>
      <c r="C3" s="871" t="str">
        <f>IF('OH25'!C2=0,"",'OH25'!C2)</f>
        <v/>
      </c>
      <c r="D3" s="908"/>
      <c r="E3" s="908"/>
      <c r="F3" s="908"/>
      <c r="G3" s="908"/>
      <c r="H3" s="908"/>
      <c r="I3" s="996"/>
      <c r="J3" s="217" t="s">
        <v>346</v>
      </c>
      <c r="K3" s="228" t="str">
        <f>IF('OH25'!G2=0,"",'OH25'!G2)</f>
        <v/>
      </c>
    </row>
    <row r="4" spans="2:11" ht="15.95" customHeight="1" x14ac:dyDescent="0.25">
      <c r="B4" s="218" t="s">
        <v>74</v>
      </c>
      <c r="C4" s="871" t="s">
        <v>523</v>
      </c>
      <c r="D4" s="908"/>
      <c r="E4" s="908"/>
      <c r="F4" s="908"/>
      <c r="G4" s="908"/>
      <c r="H4" s="908"/>
      <c r="I4" s="908"/>
      <c r="J4" s="908"/>
      <c r="K4" s="996"/>
    </row>
    <row r="5" spans="2:11" ht="8.1" customHeight="1" x14ac:dyDescent="0.25">
      <c r="B5" s="172"/>
      <c r="C5" s="172"/>
      <c r="D5" s="172"/>
      <c r="E5" s="172"/>
      <c r="F5" s="172"/>
      <c r="G5" s="172"/>
      <c r="H5" s="172"/>
      <c r="I5" s="172"/>
      <c r="J5" s="172"/>
      <c r="K5" s="172"/>
    </row>
    <row r="6" spans="2:11" ht="15.95" customHeight="1" x14ac:dyDescent="0.25">
      <c r="B6" s="993" t="s">
        <v>279</v>
      </c>
      <c r="C6" s="993"/>
      <c r="D6" s="993"/>
      <c r="E6" s="993"/>
      <c r="F6" s="993"/>
      <c r="G6" s="993"/>
      <c r="H6" s="993"/>
      <c r="I6" s="993"/>
      <c r="J6" s="993"/>
      <c r="K6" s="993"/>
    </row>
    <row r="7" spans="2:11" ht="15.95" customHeight="1" x14ac:dyDescent="0.25">
      <c r="B7" s="909" t="s">
        <v>412</v>
      </c>
      <c r="C7" s="910"/>
      <c r="D7" s="910"/>
      <c r="E7" s="910"/>
      <c r="F7" s="910"/>
      <c r="G7" s="910"/>
      <c r="H7" s="994"/>
      <c r="I7" s="217" t="s">
        <v>280</v>
      </c>
      <c r="J7" s="995" t="s">
        <v>281</v>
      </c>
      <c r="K7" s="995"/>
    </row>
    <row r="8" spans="2:11" ht="15.95" customHeight="1" x14ac:dyDescent="0.25">
      <c r="B8" s="871" t="s">
        <v>282</v>
      </c>
      <c r="C8" s="908"/>
      <c r="D8" s="908"/>
      <c r="E8" s="908"/>
      <c r="F8" s="908"/>
      <c r="G8" s="908"/>
      <c r="H8" s="996"/>
      <c r="I8" s="239" t="str">
        <f>IF('OH26'!C8=0,"",'OH26'!C8)</f>
        <v/>
      </c>
      <c r="J8" s="995"/>
      <c r="K8" s="995"/>
    </row>
    <row r="9" spans="2:11" ht="15.95" customHeight="1" x14ac:dyDescent="0.25">
      <c r="B9" s="871" t="s">
        <v>283</v>
      </c>
      <c r="C9" s="908"/>
      <c r="D9" s="908"/>
      <c r="E9" s="908"/>
      <c r="F9" s="908"/>
      <c r="G9" s="908"/>
      <c r="H9" s="996"/>
      <c r="I9" s="240" t="str">
        <f>IF('OH26'!C9=0,"",'OH26'!C9)</f>
        <v/>
      </c>
      <c r="J9" s="997">
        <v>0.3</v>
      </c>
      <c r="K9" s="998"/>
    </row>
    <row r="10" spans="2:11" ht="15.95" customHeight="1" x14ac:dyDescent="0.25">
      <c r="B10" s="871" t="s">
        <v>284</v>
      </c>
      <c r="C10" s="908"/>
      <c r="D10" s="908"/>
      <c r="E10" s="908"/>
      <c r="F10" s="908"/>
      <c r="G10" s="908"/>
      <c r="H10" s="996"/>
      <c r="I10" s="240" t="str">
        <f>IF(('OH26'!C9+'OH26'!C11=0),I8,'OH26'!C8-'OH26'!C9-'OH26'!C11)</f>
        <v/>
      </c>
      <c r="J10" s="997">
        <v>0.35</v>
      </c>
      <c r="K10" s="998"/>
    </row>
    <row r="11" spans="2:11" ht="15.95" customHeight="1" x14ac:dyDescent="0.25">
      <c r="B11" s="871" t="s">
        <v>285</v>
      </c>
      <c r="C11" s="908"/>
      <c r="D11" s="908"/>
      <c r="E11" s="908"/>
      <c r="F11" s="908"/>
      <c r="G11" s="908"/>
      <c r="H11" s="996"/>
      <c r="I11" s="240" t="str">
        <f>IF('OH26'!C11=0,"",'OH26'!C11)</f>
        <v/>
      </c>
      <c r="J11" s="997">
        <v>0.3</v>
      </c>
      <c r="K11" s="998"/>
    </row>
    <row r="12" spans="2:11" ht="15.95" customHeight="1" x14ac:dyDescent="0.25">
      <c r="B12" s="871" t="s">
        <v>286</v>
      </c>
      <c r="C12" s="908"/>
      <c r="D12" s="908"/>
      <c r="E12" s="908"/>
      <c r="F12" s="908"/>
      <c r="G12" s="908"/>
      <c r="H12" s="908"/>
      <c r="I12" s="996"/>
      <c r="J12" s="997" t="str">
        <f>'OH26'!P8</f>
        <v/>
      </c>
      <c r="K12" s="998"/>
    </row>
    <row r="13" spans="2:11" ht="15.95" customHeight="1" x14ac:dyDescent="0.25">
      <c r="B13" s="909" t="s">
        <v>287</v>
      </c>
      <c r="C13" s="910"/>
      <c r="D13" s="910"/>
      <c r="E13" s="910"/>
      <c r="F13" s="910"/>
      <c r="G13" s="910"/>
      <c r="H13" s="910"/>
      <c r="I13" s="994"/>
      <c r="J13" s="999" t="str">
        <f>IF(I8="","",J12*I8)</f>
        <v/>
      </c>
      <c r="K13" s="1000"/>
    </row>
    <row r="14" spans="2:11" ht="9" customHeight="1" x14ac:dyDescent="0.25">
      <c r="B14" s="172"/>
      <c r="C14" s="172"/>
      <c r="D14" s="172"/>
      <c r="E14" s="172"/>
      <c r="F14" s="172"/>
      <c r="G14" s="172"/>
      <c r="H14" s="172"/>
      <c r="I14" s="172"/>
      <c r="J14" s="172"/>
      <c r="K14" s="172"/>
    </row>
    <row r="15" spans="2:11" ht="15.95" customHeight="1" x14ac:dyDescent="0.25">
      <c r="B15" s="993" t="s">
        <v>288</v>
      </c>
      <c r="C15" s="993"/>
      <c r="D15" s="993"/>
      <c r="E15" s="993"/>
      <c r="F15" s="993"/>
      <c r="G15" s="993"/>
      <c r="H15" s="993"/>
      <c r="I15" s="993"/>
      <c r="J15" s="993"/>
      <c r="K15" s="993"/>
    </row>
    <row r="16" spans="2:11" ht="32.1" customHeight="1" x14ac:dyDescent="0.25">
      <c r="B16" s="909" t="s">
        <v>413</v>
      </c>
      <c r="C16" s="910"/>
      <c r="D16" s="910"/>
      <c r="E16" s="910"/>
      <c r="F16" s="910"/>
      <c r="G16" s="994"/>
      <c r="H16" s="217" t="s">
        <v>289</v>
      </c>
      <c r="I16" s="217" t="s">
        <v>290</v>
      </c>
      <c r="J16" s="995" t="s">
        <v>291</v>
      </c>
      <c r="K16" s="995"/>
    </row>
    <row r="17" spans="2:11" ht="32.1" customHeight="1" x14ac:dyDescent="0.25">
      <c r="B17" s="871" t="s">
        <v>414</v>
      </c>
      <c r="C17" s="908"/>
      <c r="D17" s="908"/>
      <c r="E17" s="908"/>
      <c r="F17" s="908"/>
      <c r="G17" s="996"/>
      <c r="H17" s="241">
        <v>0.45</v>
      </c>
      <c r="I17" s="240" t="str">
        <f>IF('OH26'!C14+'OH26'!C16=0,"",'OH26'!C14+'OH26'!C16)</f>
        <v/>
      </c>
      <c r="J17" s="1001" t="str">
        <f>IF(I17="","",H17*I17)</f>
        <v/>
      </c>
      <c r="K17" s="1001"/>
    </row>
    <row r="18" spans="2:11" ht="17.25" customHeight="1" x14ac:dyDescent="0.25">
      <c r="B18" s="871" t="s">
        <v>415</v>
      </c>
      <c r="C18" s="908"/>
      <c r="D18" s="908"/>
      <c r="E18" s="908"/>
      <c r="F18" s="908"/>
      <c r="G18" s="996"/>
      <c r="H18" s="241">
        <v>0.25</v>
      </c>
      <c r="I18" s="240" t="str">
        <f>IF('OH26'!C15+'OH26'!C17=0,"",'OH26'!C15+'OH26'!C17)</f>
        <v/>
      </c>
      <c r="J18" s="1001" t="str">
        <f>IF(I18="","",H18*I18)</f>
        <v/>
      </c>
      <c r="K18" s="1001"/>
    </row>
    <row r="19" spans="2:11" ht="17.25" customHeight="1" x14ac:dyDescent="0.25">
      <c r="B19" s="871" t="s">
        <v>292</v>
      </c>
      <c r="C19" s="908"/>
      <c r="D19" s="908"/>
      <c r="E19" s="908"/>
      <c r="F19" s="908"/>
      <c r="G19" s="996"/>
      <c r="H19" s="241">
        <v>-0.9</v>
      </c>
      <c r="I19" s="240" t="str">
        <f>IF('OH26'!C18=0,"",'OH26'!C18)</f>
        <v/>
      </c>
      <c r="J19" s="1001" t="str">
        <f>IF(I19="","",H19*I19)</f>
        <v/>
      </c>
      <c r="K19" s="1001"/>
    </row>
    <row r="20" spans="2:11" ht="17.25" customHeight="1" x14ac:dyDescent="0.25">
      <c r="B20" s="871" t="s">
        <v>293</v>
      </c>
      <c r="C20" s="908"/>
      <c r="D20" s="908"/>
      <c r="E20" s="908"/>
      <c r="F20" s="908"/>
      <c r="G20" s="996"/>
      <c r="H20" s="241">
        <v>-0.7</v>
      </c>
      <c r="I20" s="240" t="str">
        <f>IF('OH26'!C19=0,"",'OH26'!C19)</f>
        <v/>
      </c>
      <c r="J20" s="1001" t="str">
        <f>IF(I20="","",H20*I20)</f>
        <v/>
      </c>
      <c r="K20" s="1001"/>
    </row>
    <row r="21" spans="2:11" ht="15.95" customHeight="1" x14ac:dyDescent="0.25">
      <c r="B21" s="909" t="s">
        <v>294</v>
      </c>
      <c r="C21" s="910"/>
      <c r="D21" s="910"/>
      <c r="E21" s="910"/>
      <c r="F21" s="910"/>
      <c r="G21" s="910"/>
      <c r="H21" s="910"/>
      <c r="I21" s="994"/>
      <c r="J21" s="1002" t="str">
        <f>IF(I8="","",SUM(J17:K20))</f>
        <v/>
      </c>
      <c r="K21" s="1002"/>
    </row>
    <row r="22" spans="2:11" ht="15.95" customHeight="1" x14ac:dyDescent="0.25">
      <c r="B22" s="871" t="s">
        <v>295</v>
      </c>
      <c r="C22" s="908"/>
      <c r="D22" s="908"/>
      <c r="E22" s="908"/>
      <c r="F22" s="908"/>
      <c r="G22" s="908"/>
      <c r="H22" s="908"/>
      <c r="I22" s="996"/>
      <c r="J22" s="1001" t="str">
        <f>J13</f>
        <v/>
      </c>
      <c r="K22" s="1001"/>
    </row>
    <row r="23" spans="2:11" ht="15.95" customHeight="1" x14ac:dyDescent="0.25">
      <c r="B23" s="909" t="s">
        <v>296</v>
      </c>
      <c r="C23" s="910"/>
      <c r="D23" s="910"/>
      <c r="E23" s="910"/>
      <c r="F23" s="910"/>
      <c r="G23" s="910"/>
      <c r="H23" s="910"/>
      <c r="I23" s="994"/>
      <c r="J23" s="1002" t="str">
        <f>IF(I8="","",J21+J22)</f>
        <v/>
      </c>
      <c r="K23" s="1002"/>
    </row>
    <row r="24" spans="2:11" ht="6" customHeight="1" x14ac:dyDescent="0.25">
      <c r="B24" s="172"/>
      <c r="C24" s="172"/>
      <c r="D24" s="172"/>
      <c r="E24" s="172"/>
      <c r="F24" s="172"/>
      <c r="G24" s="172"/>
      <c r="H24" s="172"/>
      <c r="I24" s="172"/>
      <c r="J24" s="172"/>
      <c r="K24" s="172"/>
    </row>
    <row r="25" spans="2:11" ht="15.95" customHeight="1" x14ac:dyDescent="0.25">
      <c r="B25" s="993" t="s">
        <v>297</v>
      </c>
      <c r="C25" s="993"/>
      <c r="D25" s="993"/>
      <c r="E25" s="993"/>
      <c r="F25" s="993"/>
      <c r="G25" s="993"/>
      <c r="H25" s="993"/>
      <c r="I25" s="993"/>
      <c r="J25" s="993"/>
      <c r="K25" s="993"/>
    </row>
    <row r="26" spans="2:11" ht="32.1" customHeight="1" x14ac:dyDescent="0.25">
      <c r="B26" s="909" t="s">
        <v>416</v>
      </c>
      <c r="C26" s="910"/>
      <c r="D26" s="910"/>
      <c r="E26" s="910"/>
      <c r="F26" s="910"/>
      <c r="G26" s="994"/>
      <c r="H26" s="217" t="s">
        <v>298</v>
      </c>
      <c r="I26" s="217" t="s">
        <v>289</v>
      </c>
      <c r="J26" s="217" t="s">
        <v>299</v>
      </c>
      <c r="K26" s="217" t="s">
        <v>300</v>
      </c>
    </row>
    <row r="27" spans="2:11" ht="15.95" customHeight="1" x14ac:dyDescent="0.25">
      <c r="B27" s="871" t="s">
        <v>301</v>
      </c>
      <c r="C27" s="908"/>
      <c r="D27" s="908"/>
      <c r="E27" s="908"/>
      <c r="F27" s="908"/>
      <c r="G27" s="996"/>
      <c r="H27" s="244">
        <v>30</v>
      </c>
      <c r="I27" s="240">
        <v>1</v>
      </c>
      <c r="J27" s="245" t="str">
        <f>IF('OH26'!C23=0,"",'OH26'!C23)</f>
        <v/>
      </c>
      <c r="K27" s="242" t="str">
        <f>IF(J27="","",J27/H27*I27)</f>
        <v/>
      </c>
    </row>
    <row r="28" spans="2:11" ht="15.95" customHeight="1" x14ac:dyDescent="0.25">
      <c r="B28" s="871" t="s">
        <v>302</v>
      </c>
      <c r="C28" s="908"/>
      <c r="D28" s="908"/>
      <c r="E28" s="908"/>
      <c r="F28" s="908"/>
      <c r="G28" s="996"/>
      <c r="H28" s="244">
        <v>25</v>
      </c>
      <c r="I28" s="240">
        <v>0.75</v>
      </c>
      <c r="J28" s="245" t="str">
        <f>IF('OH26'!C24=0,"",'OH26'!C24)</f>
        <v/>
      </c>
      <c r="K28" s="242" t="str">
        <f t="shared" ref="K28:K42" si="0">IF(J28="","",J28/H28*I28)</f>
        <v/>
      </c>
    </row>
    <row r="29" spans="2:11" ht="15.95" customHeight="1" x14ac:dyDescent="0.25">
      <c r="B29" s="871" t="s">
        <v>303</v>
      </c>
      <c r="C29" s="908"/>
      <c r="D29" s="908"/>
      <c r="E29" s="908"/>
      <c r="F29" s="908"/>
      <c r="G29" s="996"/>
      <c r="H29" s="244">
        <v>15</v>
      </c>
      <c r="I29" s="240">
        <v>1</v>
      </c>
      <c r="J29" s="245" t="str">
        <f>IF('OH26'!C25=0,"",'OH26'!C25)</f>
        <v/>
      </c>
      <c r="K29" s="242" t="str">
        <f t="shared" si="0"/>
        <v/>
      </c>
    </row>
    <row r="30" spans="2:11" ht="15.95" customHeight="1" x14ac:dyDescent="0.25">
      <c r="B30" s="871" t="s">
        <v>304</v>
      </c>
      <c r="C30" s="908"/>
      <c r="D30" s="908"/>
      <c r="E30" s="908"/>
      <c r="F30" s="908"/>
      <c r="G30" s="996"/>
      <c r="H30" s="244">
        <v>15</v>
      </c>
      <c r="I30" s="240">
        <v>0.65</v>
      </c>
      <c r="J30" s="245" t="str">
        <f>IF('OH26'!C26=0,"",'OH26'!C26)</f>
        <v/>
      </c>
      <c r="K30" s="242" t="str">
        <f t="shared" si="0"/>
        <v/>
      </c>
    </row>
    <row r="31" spans="2:11" ht="15.95" customHeight="1" x14ac:dyDescent="0.25">
      <c r="B31" s="871" t="s">
        <v>305</v>
      </c>
      <c r="C31" s="908"/>
      <c r="D31" s="908"/>
      <c r="E31" s="908"/>
      <c r="F31" s="908"/>
      <c r="G31" s="996"/>
      <c r="H31" s="244">
        <v>5</v>
      </c>
      <c r="I31" s="240">
        <v>0.4</v>
      </c>
      <c r="J31" s="245" t="str">
        <f>IF('OH26'!C27=0,"",'OH26'!C27)</f>
        <v/>
      </c>
      <c r="K31" s="242" t="str">
        <f t="shared" si="0"/>
        <v/>
      </c>
    </row>
    <row r="32" spans="2:11" ht="15.95" customHeight="1" x14ac:dyDescent="0.25">
      <c r="B32" s="871" t="s">
        <v>306</v>
      </c>
      <c r="C32" s="908"/>
      <c r="D32" s="908"/>
      <c r="E32" s="908"/>
      <c r="F32" s="908"/>
      <c r="G32" s="996"/>
      <c r="H32" s="244">
        <v>20</v>
      </c>
      <c r="I32" s="240">
        <v>0.18</v>
      </c>
      <c r="J32" s="245" t="str">
        <f>IF('OH26'!C28=0,"",'OH26'!C28)</f>
        <v/>
      </c>
      <c r="K32" s="242" t="str">
        <f t="shared" si="0"/>
        <v/>
      </c>
    </row>
    <row r="33" spans="2:11" ht="15.95" customHeight="1" x14ac:dyDescent="0.25">
      <c r="B33" s="871" t="s">
        <v>94</v>
      </c>
      <c r="C33" s="908"/>
      <c r="D33" s="908"/>
      <c r="E33" s="908"/>
      <c r="F33" s="908"/>
      <c r="G33" s="996"/>
      <c r="H33" s="244">
        <v>20</v>
      </c>
      <c r="I33" s="240">
        <v>0.15</v>
      </c>
      <c r="J33" s="245" t="str">
        <f>IF('OH26'!C29=0,"",'OH26'!C29)</f>
        <v/>
      </c>
      <c r="K33" s="242" t="str">
        <f t="shared" si="0"/>
        <v/>
      </c>
    </row>
    <row r="34" spans="2:11" ht="15.95" customHeight="1" x14ac:dyDescent="0.25">
      <c r="B34" s="871" t="s">
        <v>307</v>
      </c>
      <c r="C34" s="908"/>
      <c r="D34" s="908"/>
      <c r="E34" s="908"/>
      <c r="F34" s="908"/>
      <c r="G34" s="996"/>
      <c r="H34" s="244">
        <v>20</v>
      </c>
      <c r="I34" s="240">
        <v>0.1</v>
      </c>
      <c r="J34" s="245" t="str">
        <f>IF('OH26'!C30=0,"",'OH26'!C30)</f>
        <v/>
      </c>
      <c r="K34" s="242" t="str">
        <f t="shared" si="0"/>
        <v/>
      </c>
    </row>
    <row r="35" spans="2:11" ht="15.95" customHeight="1" x14ac:dyDescent="0.25">
      <c r="B35" s="871" t="s">
        <v>96</v>
      </c>
      <c r="C35" s="908"/>
      <c r="D35" s="908"/>
      <c r="E35" s="908"/>
      <c r="F35" s="908"/>
      <c r="G35" s="996"/>
      <c r="H35" s="244">
        <v>20</v>
      </c>
      <c r="I35" s="240">
        <v>7.0000000000000007E-2</v>
      </c>
      <c r="J35" s="245" t="str">
        <f>IF('OH26'!C31=0,"",'OH26'!C31)</f>
        <v/>
      </c>
      <c r="K35" s="242" t="str">
        <f t="shared" si="0"/>
        <v/>
      </c>
    </row>
    <row r="36" spans="2:11" ht="15.95" customHeight="1" x14ac:dyDescent="0.25">
      <c r="B36" s="871" t="s">
        <v>308</v>
      </c>
      <c r="C36" s="908"/>
      <c r="D36" s="908"/>
      <c r="E36" s="908"/>
      <c r="F36" s="908"/>
      <c r="G36" s="996"/>
      <c r="H36" s="244">
        <v>20</v>
      </c>
      <c r="I36" s="240">
        <v>0.15</v>
      </c>
      <c r="J36" s="245" t="str">
        <f>IF('OH26'!C32=0,"",'OH26'!C32)</f>
        <v/>
      </c>
      <c r="K36" s="242" t="str">
        <f t="shared" si="0"/>
        <v/>
      </c>
    </row>
    <row r="37" spans="2:11" ht="15.95" customHeight="1" x14ac:dyDescent="0.25">
      <c r="B37" s="871" t="s">
        <v>98</v>
      </c>
      <c r="C37" s="908"/>
      <c r="D37" s="908"/>
      <c r="E37" s="908"/>
      <c r="F37" s="908"/>
      <c r="G37" s="996"/>
      <c r="H37" s="244">
        <v>20</v>
      </c>
      <c r="I37" s="240">
        <v>0.1</v>
      </c>
      <c r="J37" s="245" t="str">
        <f>IF('OH26'!C33=0,"",'OH26'!C33)</f>
        <v/>
      </c>
      <c r="K37" s="242" t="str">
        <f t="shared" si="0"/>
        <v/>
      </c>
    </row>
    <row r="38" spans="2:11" ht="15.95" customHeight="1" x14ac:dyDescent="0.25">
      <c r="B38" s="871" t="s">
        <v>309</v>
      </c>
      <c r="C38" s="908"/>
      <c r="D38" s="908"/>
      <c r="E38" s="908"/>
      <c r="F38" s="908"/>
      <c r="G38" s="996"/>
      <c r="H38" s="244">
        <v>5</v>
      </c>
      <c r="I38" s="240">
        <v>0.15</v>
      </c>
      <c r="J38" s="245" t="str">
        <f>IF('OH26'!C34=0,"",'OH26'!C34)</f>
        <v/>
      </c>
      <c r="K38" s="242" t="str">
        <f t="shared" si="0"/>
        <v/>
      </c>
    </row>
    <row r="39" spans="2:11" ht="15.95" customHeight="1" x14ac:dyDescent="0.25">
      <c r="B39" s="871" t="s">
        <v>310</v>
      </c>
      <c r="C39" s="908"/>
      <c r="D39" s="908"/>
      <c r="E39" s="908"/>
      <c r="F39" s="908"/>
      <c r="G39" s="996"/>
      <c r="H39" s="244">
        <v>20</v>
      </c>
      <c r="I39" s="240">
        <v>0.1</v>
      </c>
      <c r="J39" s="245" t="str">
        <f>IF('OH26'!C35=0,"",'OH26'!C35)</f>
        <v/>
      </c>
      <c r="K39" s="242" t="str">
        <f t="shared" si="0"/>
        <v/>
      </c>
    </row>
    <row r="40" spans="2:11" ht="15.95" customHeight="1" x14ac:dyDescent="0.25">
      <c r="B40" s="871" t="s">
        <v>311</v>
      </c>
      <c r="C40" s="908"/>
      <c r="D40" s="908"/>
      <c r="E40" s="908"/>
      <c r="F40" s="908"/>
      <c r="G40" s="996"/>
      <c r="H40" s="244">
        <v>5</v>
      </c>
      <c r="I40" s="240">
        <v>0.3</v>
      </c>
      <c r="J40" s="245" t="str">
        <f>IF('OH26'!C36=0,"",'OH26'!C36)</f>
        <v/>
      </c>
      <c r="K40" s="242" t="str">
        <f t="shared" si="0"/>
        <v/>
      </c>
    </row>
    <row r="41" spans="2:11" ht="15.95" customHeight="1" x14ac:dyDescent="0.25">
      <c r="B41" s="871" t="s">
        <v>7</v>
      </c>
      <c r="C41" s="908"/>
      <c r="D41" s="908"/>
      <c r="E41" s="908"/>
      <c r="F41" s="908"/>
      <c r="G41" s="996"/>
      <c r="H41" s="244">
        <v>5</v>
      </c>
      <c r="I41" s="240">
        <v>0.17</v>
      </c>
      <c r="J41" s="245" t="str">
        <f>IF('OH26'!C37=0,"",'OH26'!C37)</f>
        <v/>
      </c>
      <c r="K41" s="242" t="str">
        <f t="shared" si="0"/>
        <v/>
      </c>
    </row>
    <row r="42" spans="2:11" ht="15.95" customHeight="1" x14ac:dyDescent="0.25">
      <c r="B42" s="871" t="s">
        <v>312</v>
      </c>
      <c r="C42" s="908"/>
      <c r="D42" s="908"/>
      <c r="E42" s="908"/>
      <c r="F42" s="908"/>
      <c r="G42" s="996"/>
      <c r="H42" s="244">
        <v>5</v>
      </c>
      <c r="I42" s="240">
        <v>0.13</v>
      </c>
      <c r="J42" s="245" t="str">
        <f>IF('OH26'!C38=0,"",'OH26'!C38)</f>
        <v/>
      </c>
      <c r="K42" s="242" t="str">
        <f t="shared" si="0"/>
        <v/>
      </c>
    </row>
    <row r="43" spans="2:11" ht="15.95" customHeight="1" x14ac:dyDescent="0.25">
      <c r="B43" s="909" t="s">
        <v>175</v>
      </c>
      <c r="C43" s="910"/>
      <c r="D43" s="910"/>
      <c r="E43" s="910"/>
      <c r="F43" s="910"/>
      <c r="G43" s="910"/>
      <c r="H43" s="910"/>
      <c r="I43" s="910"/>
      <c r="J43" s="994"/>
      <c r="K43" s="243" t="str">
        <f>IF(I8="","",SUM(K27:K42))</f>
        <v/>
      </c>
    </row>
    <row r="44" spans="2:11" ht="10.7" customHeight="1" x14ac:dyDescent="0.25">
      <c r="B44" s="172"/>
      <c r="C44" s="172"/>
      <c r="D44" s="172"/>
      <c r="E44" s="172"/>
      <c r="F44" s="172"/>
      <c r="G44" s="172"/>
      <c r="H44" s="172"/>
      <c r="I44" s="172"/>
      <c r="J44" s="172"/>
      <c r="K44" s="172"/>
    </row>
    <row r="45" spans="2:11" ht="15.95" customHeight="1" x14ac:dyDescent="0.25">
      <c r="B45" s="993" t="s">
        <v>313</v>
      </c>
      <c r="C45" s="993"/>
      <c r="D45" s="993"/>
      <c r="E45" s="993"/>
      <c r="F45" s="993"/>
      <c r="G45" s="993"/>
      <c r="H45" s="993"/>
      <c r="I45" s="993"/>
      <c r="J45" s="993"/>
      <c r="K45" s="993"/>
    </row>
    <row r="46" spans="2:11" ht="31.35" customHeight="1" x14ac:dyDescent="0.25">
      <c r="B46" s="852" t="s">
        <v>417</v>
      </c>
      <c r="C46" s="852"/>
      <c r="D46" s="852"/>
      <c r="E46" s="852"/>
      <c r="F46" s="852"/>
      <c r="G46" s="852"/>
      <c r="H46" s="852"/>
      <c r="I46" s="217" t="s">
        <v>289</v>
      </c>
      <c r="J46" s="217" t="s">
        <v>290</v>
      </c>
      <c r="K46" s="217" t="s">
        <v>314</v>
      </c>
    </row>
    <row r="47" spans="2:11" ht="44.45" customHeight="1" x14ac:dyDescent="0.25">
      <c r="B47" s="853" t="s">
        <v>315</v>
      </c>
      <c r="C47" s="853"/>
      <c r="D47" s="853"/>
      <c r="E47" s="853"/>
      <c r="F47" s="853"/>
      <c r="G47" s="853"/>
      <c r="H47" s="853"/>
      <c r="I47" s="240">
        <v>0.5</v>
      </c>
      <c r="J47" s="242" t="str">
        <f>IF('OH26'!C42+'OH26'!C43=0,"",'OH26'!C42+'OH26'!C43)</f>
        <v/>
      </c>
      <c r="K47" s="242" t="str">
        <f>IF(J47="","",I47*J47)</f>
        <v/>
      </c>
    </row>
    <row r="48" spans="2:11" ht="27.6" customHeight="1" x14ac:dyDescent="0.25">
      <c r="B48" s="853" t="s">
        <v>316</v>
      </c>
      <c r="C48" s="853"/>
      <c r="D48" s="853"/>
      <c r="E48" s="853"/>
      <c r="F48" s="853"/>
      <c r="G48" s="853"/>
      <c r="H48" s="853"/>
      <c r="I48" s="240">
        <v>0.1</v>
      </c>
      <c r="J48" s="242" t="str">
        <f>IF('OH25'!C44=0,"",'OH25'!C44)</f>
        <v/>
      </c>
      <c r="K48" s="242" t="str">
        <f t="shared" ref="K48:K49" si="1">IF(J48="","",I48*J48)</f>
        <v/>
      </c>
    </row>
    <row r="49" spans="2:14" ht="15.95" customHeight="1" x14ac:dyDescent="0.25">
      <c r="B49" s="853" t="s">
        <v>398</v>
      </c>
      <c r="C49" s="853"/>
      <c r="D49" s="853"/>
      <c r="E49" s="853"/>
      <c r="F49" s="853"/>
      <c r="G49" s="853"/>
      <c r="H49" s="853"/>
      <c r="I49" s="240">
        <v>0.25</v>
      </c>
      <c r="J49" s="242" t="str">
        <f>IF('OH26'!C45+'OH26'!C46=0,"",'OH26'!C45+'OH26'!C46)</f>
        <v/>
      </c>
      <c r="K49" s="242" t="str">
        <f t="shared" si="1"/>
        <v/>
      </c>
    </row>
    <row r="50" spans="2:14" ht="15.95" customHeight="1" x14ac:dyDescent="0.25">
      <c r="B50" s="853" t="s">
        <v>317</v>
      </c>
      <c r="C50" s="853"/>
      <c r="D50" s="853"/>
      <c r="E50" s="853"/>
      <c r="F50" s="853"/>
      <c r="G50" s="853"/>
      <c r="H50" s="853"/>
      <c r="I50" s="240">
        <v>0.2</v>
      </c>
      <c r="J50" s="242" t="str">
        <f>IF('OH26'!C47=0,"",'OH26'!C47)</f>
        <v/>
      </c>
      <c r="K50" s="242" t="str">
        <f t="shared" ref="K50:K57" si="2">IF(J50="","",I50*J50)</f>
        <v/>
      </c>
    </row>
    <row r="51" spans="2:14" ht="15.95" customHeight="1" x14ac:dyDescent="0.25">
      <c r="B51" s="853" t="s">
        <v>318</v>
      </c>
      <c r="C51" s="853"/>
      <c r="D51" s="853"/>
      <c r="E51" s="853"/>
      <c r="F51" s="853"/>
      <c r="G51" s="853"/>
      <c r="H51" s="853"/>
      <c r="I51" s="240">
        <v>0.2</v>
      </c>
      <c r="J51" s="242" t="str">
        <f>IF('OH26'!C48=0,"",'OH26'!C48)</f>
        <v/>
      </c>
      <c r="K51" s="242" t="str">
        <f t="shared" si="2"/>
        <v/>
      </c>
    </row>
    <row r="52" spans="2:14" ht="15.95" customHeight="1" x14ac:dyDescent="0.25">
      <c r="B52" s="853" t="s">
        <v>319</v>
      </c>
      <c r="C52" s="853"/>
      <c r="D52" s="853"/>
      <c r="E52" s="853"/>
      <c r="F52" s="853"/>
      <c r="G52" s="853"/>
      <c r="H52" s="853"/>
      <c r="I52" s="240">
        <v>0.35</v>
      </c>
      <c r="J52" s="242" t="str">
        <f>IF('OH26'!C49=0,"",'OH26'!C49)</f>
        <v/>
      </c>
      <c r="K52" s="242" t="str">
        <f t="shared" si="2"/>
        <v/>
      </c>
    </row>
    <row r="53" spans="2:14" ht="15.95" customHeight="1" x14ac:dyDescent="0.25">
      <c r="B53" s="853" t="s">
        <v>320</v>
      </c>
      <c r="C53" s="853"/>
      <c r="D53" s="853"/>
      <c r="E53" s="853"/>
      <c r="F53" s="853"/>
      <c r="G53" s="853"/>
      <c r="H53" s="853"/>
      <c r="I53" s="240">
        <v>0.2</v>
      </c>
      <c r="J53" s="242" t="str">
        <f>IF('OH26'!C50=0,"",'OH26'!C50)</f>
        <v/>
      </c>
      <c r="K53" s="242" t="str">
        <f t="shared" si="2"/>
        <v/>
      </c>
    </row>
    <row r="54" spans="2:14" ht="15.95" customHeight="1" x14ac:dyDescent="0.25">
      <c r="B54" s="853" t="s">
        <v>321</v>
      </c>
      <c r="C54" s="853"/>
      <c r="D54" s="853"/>
      <c r="E54" s="853"/>
      <c r="F54" s="853"/>
      <c r="G54" s="853"/>
      <c r="H54" s="853"/>
      <c r="I54" s="240">
        <v>0.45</v>
      </c>
      <c r="J54" s="242" t="str">
        <f>IF('OH26'!C52=0,"",'OH26'!C52)</f>
        <v/>
      </c>
      <c r="K54" s="242" t="str">
        <f t="shared" si="2"/>
        <v/>
      </c>
    </row>
    <row r="55" spans="2:14" ht="15.95" customHeight="1" x14ac:dyDescent="0.25">
      <c r="B55" s="853" t="s">
        <v>322</v>
      </c>
      <c r="C55" s="853"/>
      <c r="D55" s="853"/>
      <c r="E55" s="853"/>
      <c r="F55" s="853"/>
      <c r="G55" s="853"/>
      <c r="H55" s="853"/>
      <c r="I55" s="240">
        <v>0.1</v>
      </c>
      <c r="J55" s="242" t="str">
        <f>IF('OH26'!C51+'OH26'!C53=0,"",'OH26'!C51+'OH26'!C53)</f>
        <v/>
      </c>
      <c r="K55" s="242" t="str">
        <f t="shared" si="2"/>
        <v/>
      </c>
    </row>
    <row r="56" spans="2:14" ht="15.95" customHeight="1" x14ac:dyDescent="0.25">
      <c r="B56" s="853" t="s">
        <v>323</v>
      </c>
      <c r="C56" s="853"/>
      <c r="D56" s="853"/>
      <c r="E56" s="853"/>
      <c r="F56" s="853"/>
      <c r="G56" s="853"/>
      <c r="H56" s="853"/>
      <c r="I56" s="240">
        <v>0.2</v>
      </c>
      <c r="J56" s="242" t="str">
        <f>IF('OH26'!C54=0,"",'OH26'!C54)</f>
        <v/>
      </c>
      <c r="K56" s="242" t="str">
        <f t="shared" si="2"/>
        <v/>
      </c>
    </row>
    <row r="57" spans="2:14" ht="15.95" customHeight="1" x14ac:dyDescent="0.25">
      <c r="B57" s="853" t="s">
        <v>324</v>
      </c>
      <c r="C57" s="853"/>
      <c r="D57" s="853"/>
      <c r="E57" s="853"/>
      <c r="F57" s="853"/>
      <c r="G57" s="853"/>
      <c r="H57" s="853"/>
      <c r="I57" s="240">
        <v>0.2</v>
      </c>
      <c r="J57" s="242" t="str">
        <f>IF('OH26'!C55=0,"",'OH26'!C55)</f>
        <v/>
      </c>
      <c r="K57" s="242" t="str">
        <f t="shared" si="2"/>
        <v/>
      </c>
    </row>
    <row r="58" spans="2:14" ht="15.95" customHeight="1" x14ac:dyDescent="0.25">
      <c r="B58" s="909" t="s">
        <v>175</v>
      </c>
      <c r="C58" s="910"/>
      <c r="D58" s="910"/>
      <c r="E58" s="910"/>
      <c r="F58" s="910"/>
      <c r="G58" s="910"/>
      <c r="H58" s="910"/>
      <c r="I58" s="910"/>
      <c r="J58" s="994"/>
      <c r="K58" s="243" t="str">
        <f>IF(I8="","",SUM(K47:K57))</f>
        <v/>
      </c>
    </row>
    <row r="59" spans="2:14" ht="10.35" customHeight="1" x14ac:dyDescent="0.25">
      <c r="B59" s="172"/>
      <c r="C59" s="172"/>
      <c r="D59" s="172"/>
      <c r="E59" s="172"/>
      <c r="F59" s="172"/>
      <c r="G59" s="172"/>
      <c r="H59" s="172"/>
      <c r="I59" s="172"/>
      <c r="J59" s="172"/>
      <c r="K59" s="172"/>
    </row>
    <row r="60" spans="2:14" ht="15.95" customHeight="1" x14ac:dyDescent="0.25">
      <c r="B60" s="993" t="s">
        <v>325</v>
      </c>
      <c r="C60" s="993"/>
      <c r="D60" s="993"/>
      <c r="E60" s="993"/>
      <c r="F60" s="993"/>
      <c r="G60" s="993"/>
      <c r="H60" s="993"/>
      <c r="I60" s="993"/>
      <c r="J60" s="993"/>
      <c r="K60" s="993"/>
    </row>
    <row r="61" spans="2:14" ht="42" customHeight="1" x14ac:dyDescent="0.25">
      <c r="B61" s="852" t="s">
        <v>76</v>
      </c>
      <c r="C61" s="852"/>
      <c r="D61" s="852"/>
      <c r="E61" s="852"/>
      <c r="F61" s="852"/>
      <c r="G61" s="852"/>
      <c r="H61" s="852"/>
      <c r="I61" s="852"/>
      <c r="J61" s="217" t="s">
        <v>314</v>
      </c>
      <c r="K61" s="219" t="s">
        <v>326</v>
      </c>
    </row>
    <row r="62" spans="2:14" ht="15.95" customHeight="1" x14ac:dyDescent="0.25">
      <c r="B62" s="853" t="s">
        <v>327</v>
      </c>
      <c r="C62" s="853"/>
      <c r="D62" s="853"/>
      <c r="E62" s="853"/>
      <c r="F62" s="853"/>
      <c r="G62" s="853"/>
      <c r="H62" s="853"/>
      <c r="I62" s="853"/>
      <c r="J62" s="242" t="str">
        <f>IF(I8="","",K43+K58)</f>
        <v/>
      </c>
      <c r="K62" s="217"/>
      <c r="M62" s="215"/>
      <c r="N62" s="216"/>
    </row>
    <row r="63" spans="2:14" ht="15.95" customHeight="1" x14ac:dyDescent="0.25">
      <c r="B63" s="853" t="s">
        <v>328</v>
      </c>
      <c r="C63" s="853"/>
      <c r="D63" s="853"/>
      <c r="E63" s="853"/>
      <c r="F63" s="853"/>
      <c r="G63" s="853"/>
      <c r="H63" s="853"/>
      <c r="I63" s="853"/>
      <c r="J63" s="242" t="str">
        <f>J23</f>
        <v/>
      </c>
      <c r="K63" s="217"/>
      <c r="M63" s="215"/>
      <c r="N63" s="216"/>
    </row>
    <row r="64" spans="2:14" ht="28.7" customHeight="1" x14ac:dyDescent="0.25">
      <c r="B64" s="852" t="s">
        <v>329</v>
      </c>
      <c r="C64" s="852"/>
      <c r="D64" s="852"/>
      <c r="E64" s="852"/>
      <c r="F64" s="852"/>
      <c r="G64" s="852"/>
      <c r="H64" s="852"/>
      <c r="I64" s="852"/>
      <c r="J64" s="243" t="str">
        <f>IF(I8="","",J62-J63)</f>
        <v/>
      </c>
      <c r="K64" s="246" t="str">
        <f>IF(I8="","",IF(J65="podmínka splněna","",'OH26'!G8*-1))</f>
        <v/>
      </c>
    </row>
    <row r="65" spans="10:10" ht="29.25" customHeight="1" x14ac:dyDescent="0.25">
      <c r="J65" s="224" t="str">
        <f>'OH26'!G9</f>
        <v/>
      </c>
    </row>
  </sheetData>
  <sheetProtection algorithmName="SHA-512" hashValue="GWZ0y8IP6qgNx584WzwuzOrXmsyxNuyWcMRWcUv2SXS3BNQewFord6WFQQSAd6ylx5E+iZAvIJ+ZTQALKrsfCw==" saltValue="3EwANmInSdpFv2Y6lUqxaA==" spinCount="100000" sheet="1" formatCells="0" formatColumns="0" formatRows="0"/>
  <mergeCells count="73">
    <mergeCell ref="B7:H7"/>
    <mergeCell ref="J7:K8"/>
    <mergeCell ref="B8:H8"/>
    <mergeCell ref="B1:K1"/>
    <mergeCell ref="B2:K2"/>
    <mergeCell ref="C3:I3"/>
    <mergeCell ref="C4:K4"/>
    <mergeCell ref="B6:K6"/>
    <mergeCell ref="B16:G16"/>
    <mergeCell ref="J16:K16"/>
    <mergeCell ref="B9:H9"/>
    <mergeCell ref="J9:K9"/>
    <mergeCell ref="B10:H10"/>
    <mergeCell ref="J10:K10"/>
    <mergeCell ref="B11:H11"/>
    <mergeCell ref="J11:K11"/>
    <mergeCell ref="B12:I12"/>
    <mergeCell ref="J12:K12"/>
    <mergeCell ref="B13:I13"/>
    <mergeCell ref="J13:K13"/>
    <mergeCell ref="B15:K15"/>
    <mergeCell ref="B17:G17"/>
    <mergeCell ref="J17:K17"/>
    <mergeCell ref="B18:G18"/>
    <mergeCell ref="J18:K18"/>
    <mergeCell ref="B19:G19"/>
    <mergeCell ref="J19:K19"/>
    <mergeCell ref="B20:G20"/>
    <mergeCell ref="J20:K20"/>
    <mergeCell ref="B21:I21"/>
    <mergeCell ref="J21:K21"/>
    <mergeCell ref="B22:I22"/>
    <mergeCell ref="J22:K22"/>
    <mergeCell ref="B34:G34"/>
    <mergeCell ref="B23:I23"/>
    <mergeCell ref="J23:K23"/>
    <mergeCell ref="B25:K25"/>
    <mergeCell ref="B26:G26"/>
    <mergeCell ref="B27:G27"/>
    <mergeCell ref="B28:G28"/>
    <mergeCell ref="B29:G29"/>
    <mergeCell ref="B30:G30"/>
    <mergeCell ref="B31:G31"/>
    <mergeCell ref="B32:G32"/>
    <mergeCell ref="B33:G33"/>
    <mergeCell ref="B58:J58"/>
    <mergeCell ref="B47:H47"/>
    <mergeCell ref="B35:G35"/>
    <mergeCell ref="B36:G36"/>
    <mergeCell ref="B37:G37"/>
    <mergeCell ref="B38:G38"/>
    <mergeCell ref="B39:G39"/>
    <mergeCell ref="B40:G40"/>
    <mergeCell ref="B41:G41"/>
    <mergeCell ref="B42:G42"/>
    <mergeCell ref="B43:J43"/>
    <mergeCell ref="B45:K45"/>
    <mergeCell ref="B46:H46"/>
    <mergeCell ref="B53:H53"/>
    <mergeCell ref="B54:H54"/>
    <mergeCell ref="B55:H55"/>
    <mergeCell ref="B56:H56"/>
    <mergeCell ref="B57:H57"/>
    <mergeCell ref="B48:H48"/>
    <mergeCell ref="B49:H49"/>
    <mergeCell ref="B50:H50"/>
    <mergeCell ref="B51:H51"/>
    <mergeCell ref="B52:H52"/>
    <mergeCell ref="B61:I61"/>
    <mergeCell ref="B62:I62"/>
    <mergeCell ref="B63:I63"/>
    <mergeCell ref="B64:I64"/>
    <mergeCell ref="B60:K60"/>
  </mergeCells>
  <conditionalFormatting sqref="J65">
    <cfRule type="containsText" dxfId="4" priority="1" operator="containsText" text="neposkytne">
      <formula>NOT(ISERROR(SEARCH("neposkytne",J65)))</formula>
    </cfRule>
    <cfRule type="containsText" dxfId="3" priority="2" operator="containsText" text="snížení">
      <formula>NOT(ISERROR(SEARCH("snížení",J65)))</formula>
    </cfRule>
    <cfRule type="containsText" dxfId="2" priority="3" operator="containsText" text="nesplněna">
      <formula>NOT(ISERROR(SEARCH("nesplněna",J65)))</formula>
    </cfRule>
    <cfRule type="containsText" dxfId="1" priority="5" operator="containsText" text="požadavek splněn">
      <formula>NOT(ISERROR(SEARCH("požadavek splněn",J65)))</formula>
    </cfRule>
  </conditionalFormatting>
  <conditionalFormatting sqref="J65:K65">
    <cfRule type="containsText" dxfId="0" priority="4" operator="containsText" text="splněna">
      <formula>NOT(ISERROR(SEARCH("splněna",J65)))</formula>
    </cfRule>
  </conditionalFormatting>
  <pageMargins left="0.62992125984251968" right="0.62992125984251968" top="0.74803149606299213" bottom="0.74803149606299213" header="0.31496062992125984" footer="0.31496062992125984"/>
  <pageSetup paperSize="9" scale="91" fitToHeight="0" orientation="landscape" horizontalDpi="4294967292" r:id="rId1"/>
  <rowBreaks count="2" manualBreakCount="2">
    <brk id="24" max="16383" man="1"/>
    <brk id="44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A10FC-A09E-471A-8A1F-288C09022B72}">
  <sheetPr>
    <tabColor theme="6" tint="0.39997558519241921"/>
  </sheetPr>
  <dimension ref="B1:AS91"/>
  <sheetViews>
    <sheetView showGridLines="0" showZeros="0" zoomScale="90" zoomScaleNormal="90" workbookViewId="0">
      <pane xSplit="4" ySplit="9" topLeftCell="E10" activePane="bottomRight" state="frozen"/>
      <selection pane="topRight" activeCell="E1" sqref="E1"/>
      <selection pane="bottomLeft" activeCell="A12" sqref="A12"/>
      <selection pane="bottomRight" activeCell="D3" sqref="D3"/>
    </sheetView>
  </sheetViews>
  <sheetFormatPr defaultColWidth="5.7109375" defaultRowHeight="15" x14ac:dyDescent="0.25"/>
  <cols>
    <col min="1" max="1" width="0.5703125" customWidth="1"/>
    <col min="2" max="2" width="38.5703125" customWidth="1"/>
    <col min="3" max="3" width="34.85546875" customWidth="1"/>
    <col min="4" max="4" width="26.5703125" customWidth="1"/>
    <col min="5" max="5" width="13.42578125" customWidth="1"/>
    <col min="6" max="6" width="19.28515625" style="1" customWidth="1"/>
    <col min="7" max="7" width="15.7109375" style="1" customWidth="1"/>
    <col min="8" max="8" width="11.140625" customWidth="1"/>
    <col min="9" max="9" width="18.85546875" customWidth="1"/>
    <col min="10" max="10" width="6.5703125" customWidth="1"/>
    <col min="11" max="11" width="7.85546875" customWidth="1"/>
    <col min="12" max="12" width="13.140625" customWidth="1"/>
    <col min="13" max="13" width="7.5703125" customWidth="1"/>
    <col min="14" max="14" width="5.5703125" customWidth="1"/>
    <col min="15" max="15" width="11.28515625" customWidth="1"/>
    <col min="16" max="16" width="3.140625" style="21" customWidth="1"/>
    <col min="17" max="19" width="10.5703125" style="21" customWidth="1"/>
    <col min="20" max="20" width="35.7109375" customWidth="1"/>
    <col min="21" max="29" width="9" customWidth="1"/>
    <col min="30" max="30" width="2.42578125" customWidth="1"/>
    <col min="31" max="31" width="15.140625" customWidth="1"/>
    <col min="32" max="32" width="5.42578125" customWidth="1"/>
    <col min="33" max="35" width="7.5703125" customWidth="1"/>
    <col min="36" max="36" width="12.42578125" style="195" customWidth="1"/>
    <col min="37" max="37" width="5" customWidth="1"/>
    <col min="38" max="40" width="7" customWidth="1"/>
    <col min="41" max="41" width="2.7109375" customWidth="1"/>
    <col min="42" max="43" width="13.85546875" customWidth="1"/>
    <col min="44" max="44" width="1.42578125" customWidth="1"/>
    <col min="45" max="45" width="18" style="6" hidden="1" customWidth="1"/>
    <col min="46" max="54" width="5.7109375" customWidth="1"/>
  </cols>
  <sheetData>
    <row r="1" spans="2:45" ht="15" customHeight="1" x14ac:dyDescent="0.25">
      <c r="B1" s="749" t="s">
        <v>459</v>
      </c>
      <c r="C1" s="749"/>
      <c r="D1" s="749"/>
      <c r="E1" s="639" t="s">
        <v>470</v>
      </c>
      <c r="F1" s="748" t="s">
        <v>604</v>
      </c>
      <c r="G1" s="748"/>
      <c r="H1" s="227">
        <f>Q80</f>
        <v>0</v>
      </c>
      <c r="I1" s="170" t="s">
        <v>2</v>
      </c>
      <c r="J1" s="227">
        <f>R80</f>
        <v>0</v>
      </c>
      <c r="K1" s="170" t="s">
        <v>261</v>
      </c>
      <c r="L1" s="227">
        <f>S80</f>
        <v>0</v>
      </c>
      <c r="M1" s="170" t="s">
        <v>260</v>
      </c>
      <c r="N1" s="257">
        <f>H1-'P24'!H1</f>
        <v>0</v>
      </c>
      <c r="O1" s="257">
        <f>J1-'P24'!J1</f>
        <v>0</v>
      </c>
      <c r="P1" s="258"/>
      <c r="Q1" s="259"/>
      <c r="R1" s="259"/>
      <c r="S1" s="259"/>
      <c r="U1" s="11"/>
      <c r="V1" s="11"/>
      <c r="W1" s="11"/>
      <c r="X1" s="11"/>
      <c r="Y1" s="11"/>
      <c r="Z1" s="11"/>
      <c r="AA1" s="11"/>
      <c r="AB1" s="11"/>
      <c r="AC1" s="11"/>
      <c r="AE1" s="11"/>
      <c r="AF1" s="11"/>
      <c r="AG1" s="11"/>
      <c r="AH1" s="11"/>
      <c r="AI1" s="11"/>
      <c r="AJ1" s="189"/>
      <c r="AK1" s="11"/>
      <c r="AL1" s="11"/>
      <c r="AM1" s="11"/>
      <c r="AN1" s="11"/>
      <c r="AP1" s="11"/>
      <c r="AQ1" s="11"/>
      <c r="AR1" s="11"/>
    </row>
    <row r="2" spans="2:45" s="3" customFormat="1" ht="15" customHeight="1" thickBot="1" x14ac:dyDescent="0.3">
      <c r="B2" s="749"/>
      <c r="C2" s="749"/>
      <c r="D2" s="749"/>
      <c r="E2" s="297">
        <f>'P24'!E2</f>
        <v>0</v>
      </c>
      <c r="F2" s="229" t="s">
        <v>197</v>
      </c>
      <c r="G2" s="750">
        <f>'P24'!G2</f>
        <v>0</v>
      </c>
      <c r="H2" s="751"/>
      <c r="I2" s="751"/>
      <c r="J2" s="751"/>
      <c r="K2" s="751"/>
      <c r="L2" s="751"/>
      <c r="M2" s="751"/>
      <c r="N2" s="736"/>
      <c r="O2" s="736"/>
      <c r="P2" s="706"/>
      <c r="Q2" s="706"/>
      <c r="R2" s="260"/>
      <c r="S2" s="260"/>
      <c r="U2" s="1"/>
      <c r="V2" s="1"/>
      <c r="W2" s="1"/>
      <c r="X2" s="1"/>
      <c r="Y2" s="1"/>
      <c r="Z2" s="1"/>
      <c r="AA2" s="1"/>
      <c r="AB2" s="1"/>
      <c r="AC2" s="1"/>
      <c r="AE2" s="100"/>
      <c r="AF2" s="100"/>
      <c r="AG2" s="100"/>
      <c r="AH2" s="100"/>
      <c r="AI2" s="100"/>
      <c r="AJ2" s="190"/>
      <c r="AK2" s="100"/>
      <c r="AL2" s="100"/>
    </row>
    <row r="3" spans="2:45" s="1" customFormat="1" ht="15" customHeight="1" thickBot="1" x14ac:dyDescent="0.3">
      <c r="B3" s="746" t="s">
        <v>520</v>
      </c>
      <c r="C3" s="746"/>
      <c r="D3" s="308"/>
      <c r="E3" s="640" t="s">
        <v>346</v>
      </c>
      <c r="F3" s="229" t="s">
        <v>198</v>
      </c>
      <c r="G3" s="751">
        <f>'P24'!G3</f>
        <v>0</v>
      </c>
      <c r="H3" s="751"/>
      <c r="I3" s="751"/>
      <c r="J3" s="751"/>
      <c r="K3" s="751"/>
      <c r="L3" s="751"/>
      <c r="M3" s="751"/>
      <c r="N3" s="737"/>
      <c r="O3" s="737"/>
      <c r="P3" s="706"/>
      <c r="Q3" s="706"/>
      <c r="R3" s="260"/>
      <c r="S3" s="260"/>
      <c r="U3" s="29"/>
      <c r="V3" s="29"/>
      <c r="W3" s="29"/>
      <c r="X3" s="29"/>
      <c r="Y3" s="29"/>
      <c r="Z3" s="29"/>
      <c r="AA3" s="29"/>
      <c r="AB3" s="29"/>
      <c r="AC3" s="29"/>
      <c r="AE3" s="100"/>
      <c r="AF3" s="100"/>
      <c r="AG3" s="100"/>
      <c r="AH3" s="100"/>
      <c r="AI3" s="100"/>
      <c r="AJ3" s="190"/>
      <c r="AK3" s="100"/>
      <c r="AL3" s="100"/>
      <c r="AM3" s="29"/>
      <c r="AN3" s="29"/>
      <c r="AP3" s="29"/>
      <c r="AQ3" s="29"/>
      <c r="AS3" s="3"/>
    </row>
    <row r="4" spans="2:45" s="1" customFormat="1" ht="15" customHeight="1" thickBot="1" x14ac:dyDescent="0.3">
      <c r="B4" s="682" t="s">
        <v>559</v>
      </c>
      <c r="C4" s="682"/>
      <c r="D4" s="682"/>
      <c r="E4" s="288">
        <f>'P24'!E4</f>
        <v>0</v>
      </c>
      <c r="F4" s="229" t="s">
        <v>257</v>
      </c>
      <c r="G4" s="289" t="s">
        <v>206</v>
      </c>
      <c r="H4" s="264" t="s">
        <v>258</v>
      </c>
      <c r="I4" s="234"/>
      <c r="J4" s="234"/>
      <c r="K4" s="234"/>
      <c r="L4" s="234"/>
      <c r="M4" s="261"/>
      <c r="N4" s="261"/>
      <c r="O4" s="260"/>
      <c r="P4" s="260"/>
      <c r="Q4" s="260"/>
      <c r="R4" s="260"/>
      <c r="S4" s="260"/>
      <c r="U4" s="29"/>
      <c r="V4" s="29"/>
      <c r="W4" s="29"/>
      <c r="X4" s="29"/>
      <c r="Y4" s="29"/>
      <c r="Z4" s="29"/>
      <c r="AA4" s="29"/>
      <c r="AB4" s="29"/>
      <c r="AC4" s="29"/>
      <c r="AE4" s="100"/>
      <c r="AF4" s="100"/>
      <c r="AG4" s="100"/>
      <c r="AH4" s="100"/>
      <c r="AI4" s="100"/>
      <c r="AJ4" s="190"/>
      <c r="AK4" s="100"/>
      <c r="AL4" s="100"/>
      <c r="AM4" s="29"/>
      <c r="AN4" s="29"/>
      <c r="AP4" s="29"/>
      <c r="AQ4" s="29"/>
      <c r="AS4" s="3"/>
    </row>
    <row r="5" spans="2:45" s="1" customFormat="1" ht="15" customHeight="1" thickBot="1" x14ac:dyDescent="0.3">
      <c r="B5" s="683" t="s">
        <v>558</v>
      </c>
      <c r="C5" s="684"/>
      <c r="D5" s="308"/>
      <c r="E5" s="265"/>
      <c r="F5" s="266" t="s">
        <v>199</v>
      </c>
      <c r="G5" s="289">
        <v>2025</v>
      </c>
      <c r="H5" s="267" t="s">
        <v>222</v>
      </c>
      <c r="I5" s="268"/>
      <c r="J5" s="268"/>
      <c r="K5" s="268"/>
      <c r="L5" s="268"/>
      <c r="M5" s="269"/>
      <c r="N5" s="261"/>
      <c r="O5" s="260"/>
      <c r="P5" s="260"/>
      <c r="Q5" s="260"/>
      <c r="R5" s="260"/>
      <c r="S5" s="260"/>
      <c r="U5" s="29"/>
      <c r="V5" s="29"/>
      <c r="W5" s="29"/>
      <c r="X5" s="29"/>
      <c r="Y5" s="29"/>
      <c r="Z5" s="29"/>
      <c r="AA5" s="29"/>
      <c r="AB5" s="29"/>
      <c r="AC5" s="29"/>
      <c r="AE5" s="100"/>
      <c r="AF5" s="100"/>
      <c r="AG5" s="100"/>
      <c r="AH5" s="100"/>
      <c r="AI5" s="100"/>
      <c r="AJ5" s="190"/>
      <c r="AK5" s="100"/>
      <c r="AL5" s="100"/>
      <c r="AM5" s="29"/>
      <c r="AN5" s="29"/>
      <c r="AP5" s="29"/>
      <c r="AQ5" s="29"/>
      <c r="AS5" s="3"/>
    </row>
    <row r="6" spans="2:45" ht="15" customHeight="1" x14ac:dyDescent="0.25">
      <c r="B6" s="744"/>
      <c r="C6" s="744"/>
      <c r="D6" s="745"/>
      <c r="E6" s="270" t="s">
        <v>172</v>
      </c>
      <c r="F6" s="271">
        <f>D80-D3+0.000000000001</f>
        <v>9.9999999999999998E-13</v>
      </c>
      <c r="G6" s="272" t="str">
        <f>IF(D80-D3+0.000000000001=0.000000000001,"ha → plodiny doplněny, bez překryvů",IF(F6&lt;0,"ha → doplňte, prosím, hektary plodin či TTP (sloupec D)","ha → překryvy, příp. chyby ve výměře plodin"))</f>
        <v>ha → plodiny doplněny, bez překryvů</v>
      </c>
      <c r="H6" s="273"/>
      <c r="I6" s="274"/>
      <c r="J6" s="275"/>
      <c r="K6" s="275"/>
      <c r="L6" s="275"/>
      <c r="M6" s="276"/>
      <c r="N6" s="262"/>
      <c r="O6" s="262"/>
      <c r="P6" s="262"/>
      <c r="Q6" s="263"/>
      <c r="R6" s="263"/>
      <c r="S6" s="263"/>
      <c r="U6" s="707"/>
      <c r="V6" s="707"/>
      <c r="W6" s="707"/>
      <c r="X6" s="707"/>
      <c r="Y6" s="707"/>
      <c r="Z6" s="707"/>
      <c r="AA6" s="707"/>
      <c r="AB6" s="707"/>
      <c r="AC6" s="707"/>
      <c r="AE6" s="708"/>
      <c r="AF6" s="708"/>
      <c r="AG6" s="708"/>
      <c r="AH6" s="708"/>
      <c r="AI6" s="708"/>
      <c r="AJ6" s="707"/>
      <c r="AK6" s="707"/>
      <c r="AL6" s="707"/>
      <c r="AM6" s="707"/>
      <c r="AN6" s="707"/>
      <c r="AP6" s="707"/>
      <c r="AQ6" s="707"/>
      <c r="AR6" s="40"/>
    </row>
    <row r="7" spans="2:45" ht="23.1" customHeight="1" x14ac:dyDescent="0.25">
      <c r="B7" s="738" t="s">
        <v>530</v>
      </c>
      <c r="C7" s="739"/>
      <c r="D7" s="740"/>
      <c r="E7" s="702" t="s">
        <v>204</v>
      </c>
      <c r="F7" s="702"/>
      <c r="G7" s="702"/>
      <c r="H7" s="712" t="s">
        <v>167</v>
      </c>
      <c r="I7" s="713"/>
      <c r="J7" s="713"/>
      <c r="K7" s="713"/>
      <c r="L7" s="713"/>
      <c r="M7" s="713"/>
      <c r="N7" s="714"/>
      <c r="O7" s="714"/>
      <c r="P7" s="715"/>
      <c r="Q7" s="704" t="s">
        <v>267</v>
      </c>
      <c r="R7" s="704"/>
      <c r="S7" s="704"/>
      <c r="U7" s="704" t="s">
        <v>268</v>
      </c>
      <c r="V7" s="704"/>
      <c r="W7" s="704"/>
      <c r="X7" s="704"/>
      <c r="Y7" s="704"/>
      <c r="Z7" s="704"/>
      <c r="AA7" s="704"/>
      <c r="AB7" s="704"/>
      <c r="AC7" s="704"/>
      <c r="AE7" s="697" t="s">
        <v>150</v>
      </c>
      <c r="AF7" s="697"/>
      <c r="AG7" s="697"/>
      <c r="AH7" s="697"/>
      <c r="AI7" s="697"/>
      <c r="AJ7" s="703" t="s">
        <v>151</v>
      </c>
      <c r="AK7" s="703"/>
      <c r="AL7" s="703"/>
      <c r="AM7" s="703"/>
      <c r="AN7" s="703"/>
      <c r="AP7" s="724" t="s">
        <v>238</v>
      </c>
      <c r="AQ7" s="724"/>
      <c r="AR7" s="40"/>
    </row>
    <row r="8" spans="2:45" ht="23.1" customHeight="1" x14ac:dyDescent="0.25">
      <c r="B8" s="741"/>
      <c r="C8" s="742"/>
      <c r="D8" s="743"/>
      <c r="E8" s="734" t="s">
        <v>168</v>
      </c>
      <c r="F8" s="735"/>
      <c r="G8" s="735"/>
      <c r="H8" s="703" t="s">
        <v>171</v>
      </c>
      <c r="I8" s="703"/>
      <c r="J8" s="703"/>
      <c r="K8" s="703"/>
      <c r="L8" s="703"/>
      <c r="M8" s="703"/>
      <c r="N8" s="703"/>
      <c r="O8" s="710" t="s">
        <v>510</v>
      </c>
      <c r="P8" s="711" t="s">
        <v>170</v>
      </c>
      <c r="Q8" s="717" t="s">
        <v>269</v>
      </c>
      <c r="R8" s="718"/>
      <c r="S8" s="719"/>
      <c r="U8" s="731" t="s">
        <v>150</v>
      </c>
      <c r="V8" s="732"/>
      <c r="W8" s="733"/>
      <c r="X8" s="731" t="s">
        <v>151</v>
      </c>
      <c r="Y8" s="732"/>
      <c r="Z8" s="733"/>
      <c r="AA8" s="731" t="s">
        <v>175</v>
      </c>
      <c r="AB8" s="732"/>
      <c r="AC8" s="733"/>
      <c r="AE8" s="697" t="s">
        <v>130</v>
      </c>
      <c r="AF8" s="697" t="s">
        <v>60</v>
      </c>
      <c r="AG8" s="709" t="s">
        <v>273</v>
      </c>
      <c r="AH8" s="709"/>
      <c r="AI8" s="709"/>
      <c r="AJ8" s="710" t="s">
        <v>130</v>
      </c>
      <c r="AK8" s="716" t="s">
        <v>60</v>
      </c>
      <c r="AL8" s="703" t="s">
        <v>152</v>
      </c>
      <c r="AM8" s="703"/>
      <c r="AN8" s="703"/>
      <c r="AP8" s="723"/>
      <c r="AQ8" s="723"/>
      <c r="AR8" s="40"/>
    </row>
    <row r="9" spans="2:45" s="1" customFormat="1" ht="51.75" customHeight="1" x14ac:dyDescent="0.25">
      <c r="B9" s="698" t="s">
        <v>509</v>
      </c>
      <c r="C9" s="699"/>
      <c r="D9" s="98" t="s">
        <v>274</v>
      </c>
      <c r="E9" s="30" t="s">
        <v>196</v>
      </c>
      <c r="F9" s="30" t="s">
        <v>203</v>
      </c>
      <c r="G9" s="30" t="s">
        <v>149</v>
      </c>
      <c r="H9" s="41" t="s">
        <v>195</v>
      </c>
      <c r="I9" s="41" t="s">
        <v>190</v>
      </c>
      <c r="J9" s="705" t="s">
        <v>191</v>
      </c>
      <c r="K9" s="705"/>
      <c r="L9" s="41" t="s">
        <v>192</v>
      </c>
      <c r="M9" s="705" t="s">
        <v>193</v>
      </c>
      <c r="N9" s="705"/>
      <c r="O9" s="710"/>
      <c r="P9" s="711"/>
      <c r="Q9" s="164" t="s">
        <v>264</v>
      </c>
      <c r="R9" s="164" t="s">
        <v>265</v>
      </c>
      <c r="S9" s="164" t="s">
        <v>266</v>
      </c>
      <c r="U9" s="162" t="s">
        <v>235</v>
      </c>
      <c r="V9" s="162" t="s">
        <v>270</v>
      </c>
      <c r="W9" s="162" t="s">
        <v>271</v>
      </c>
      <c r="X9" s="162" t="s">
        <v>235</v>
      </c>
      <c r="Y9" s="162" t="s">
        <v>270</v>
      </c>
      <c r="Z9" s="162" t="s">
        <v>271</v>
      </c>
      <c r="AA9" s="162" t="s">
        <v>235</v>
      </c>
      <c r="AB9" s="162" t="s">
        <v>270</v>
      </c>
      <c r="AC9" s="162" t="s">
        <v>271</v>
      </c>
      <c r="AE9" s="697"/>
      <c r="AF9" s="697"/>
      <c r="AG9" s="30" t="s">
        <v>0</v>
      </c>
      <c r="AH9" s="30" t="s">
        <v>59</v>
      </c>
      <c r="AI9" s="30" t="s">
        <v>61</v>
      </c>
      <c r="AJ9" s="710"/>
      <c r="AK9" s="716"/>
      <c r="AL9" s="42" t="s">
        <v>0</v>
      </c>
      <c r="AM9" s="42" t="s">
        <v>59</v>
      </c>
      <c r="AN9" s="42" t="s">
        <v>61</v>
      </c>
      <c r="AP9" s="43" t="s">
        <v>2</v>
      </c>
      <c r="AQ9" s="43" t="s">
        <v>176</v>
      </c>
      <c r="AR9" s="44"/>
      <c r="AS9" s="3"/>
    </row>
    <row r="10" spans="2:45" s="5" customFormat="1" ht="14.25" customHeight="1" x14ac:dyDescent="0.25">
      <c r="B10" s="689" t="s">
        <v>433</v>
      </c>
      <c r="C10" s="31" t="s">
        <v>180</v>
      </c>
      <c r="D10" s="10"/>
      <c r="E10" s="10"/>
      <c r="F10" s="45">
        <f t="shared" ref="F10:F73" si="0">IF(D10=0,0,E10/D10)</f>
        <v>0</v>
      </c>
      <c r="G10" s="27"/>
      <c r="H10" s="9"/>
      <c r="I10" s="46">
        <f>IF(L10=0,IF(F10=0,G10*K10*H10,F10*K10*H10),0)</f>
        <v>0</v>
      </c>
      <c r="J10" s="47" t="s">
        <v>169</v>
      </c>
      <c r="K10" s="48">
        <v>0.9</v>
      </c>
      <c r="L10" s="9"/>
      <c r="M10" s="47" t="s">
        <v>272</v>
      </c>
      <c r="N10" s="48" t="str">
        <f>IF(H10=0,"",IF(F10+G10=0,"",IF(L10=0,0,IF(G10=0,(L10/H10)/F10,(L10/H10)/G10))))</f>
        <v/>
      </c>
      <c r="O10" s="49">
        <f>D10-H10</f>
        <v>0</v>
      </c>
      <c r="P10" s="50" t="str">
        <f t="shared" ref="P10:P19" si="1">IF(O10&lt;0,"!",IF(AS10=TRUE,"!",""))</f>
        <v/>
      </c>
      <c r="Q10" s="165">
        <f>IF($D10=0,0,AA10/$D10)</f>
        <v>0</v>
      </c>
      <c r="R10" s="165">
        <f>IF($D10=0,0,AB10/$D10)</f>
        <v>0</v>
      </c>
      <c r="S10" s="165">
        <f>IF($D10=0,0,AC10/$D10)</f>
        <v>0</v>
      </c>
      <c r="U10" s="163">
        <f t="shared" ref="U10:U40" si="2">IF($G10=0,$F10*$D10*AG10,$G10*$D10*AG10)</f>
        <v>0</v>
      </c>
      <c r="V10" s="163">
        <f t="shared" ref="V10:V40" si="3">IF($G10=0,$F10*$D10*AH10,$G10*$D10*AH10)</f>
        <v>0</v>
      </c>
      <c r="W10" s="163">
        <f t="shared" ref="W10:W40" si="4">IF($G10=0,$F10*$D10*AI10,$G10*$D10*AI10)</f>
        <v>0</v>
      </c>
      <c r="X10" s="163">
        <f t="shared" ref="X10:X40" si="5">IF($L10=0,$I10*AL10,$L10*AL10)</f>
        <v>0</v>
      </c>
      <c r="Y10" s="163">
        <f t="shared" ref="Y10:Y40" si="6">IF($L10=0,$I10*AM10,$L10*AM10)</f>
        <v>0</v>
      </c>
      <c r="Z10" s="163">
        <f t="shared" ref="Z10:Z40" si="7">IF($L10=0,$I10*AN10,$L10*AN10)</f>
        <v>0</v>
      </c>
      <c r="AA10" s="163">
        <f>U10+X10</f>
        <v>0</v>
      </c>
      <c r="AB10" s="163">
        <f>V10+Y10</f>
        <v>0</v>
      </c>
      <c r="AC10" s="163">
        <f>W10+Z10</f>
        <v>0</v>
      </c>
      <c r="AE10" s="51" t="s">
        <v>137</v>
      </c>
      <c r="AF10" s="32">
        <v>0.86</v>
      </c>
      <c r="AG10" s="33">
        <v>20.399999999999999</v>
      </c>
      <c r="AH10" s="33">
        <v>2.9</v>
      </c>
      <c r="AI10" s="33">
        <v>3.5</v>
      </c>
      <c r="AJ10" s="191" t="s">
        <v>131</v>
      </c>
      <c r="AK10" s="52">
        <v>0.91</v>
      </c>
      <c r="AL10" s="53">
        <v>4.7</v>
      </c>
      <c r="AM10" s="53">
        <v>0.6</v>
      </c>
      <c r="AN10" s="53">
        <v>11.1</v>
      </c>
      <c r="AP10" s="54"/>
      <c r="AQ10" s="54"/>
      <c r="AS10" s="39" t="b">
        <f t="shared" ref="AS10:AS40" si="8">AND(H10=0,L10&gt;0)</f>
        <v>0</v>
      </c>
    </row>
    <row r="11" spans="2:45" s="5" customFormat="1" ht="14.25" customHeight="1" x14ac:dyDescent="0.25">
      <c r="B11" s="690"/>
      <c r="C11" s="31" t="s">
        <v>181</v>
      </c>
      <c r="D11" s="10"/>
      <c r="E11" s="10"/>
      <c r="F11" s="45">
        <f t="shared" si="0"/>
        <v>0</v>
      </c>
      <c r="G11" s="27"/>
      <c r="H11" s="9"/>
      <c r="I11" s="46">
        <f t="shared" ref="I11:I26" si="9">IF(L11=0,IF(F11=0,G11*K11*H11,F11*K11*H11),0)</f>
        <v>0</v>
      </c>
      <c r="J11" s="47" t="s">
        <v>169</v>
      </c>
      <c r="K11" s="48">
        <f>0.9</f>
        <v>0.9</v>
      </c>
      <c r="L11" s="9"/>
      <c r="M11" s="47" t="s">
        <v>272</v>
      </c>
      <c r="N11" s="48" t="str">
        <f t="shared" ref="N11:N26" si="10">IF(H11=0,"",IF(F11+G11=0,"",IF(L11=0,0,IF(G11=0,(L11/H11)/F11,(L11/H11)/G11))))</f>
        <v/>
      </c>
      <c r="O11" s="49">
        <f t="shared" ref="O11:O26" si="11">D11-H11</f>
        <v>0</v>
      </c>
      <c r="P11" s="50" t="str">
        <f t="shared" si="1"/>
        <v/>
      </c>
      <c r="Q11" s="165">
        <f t="shared" ref="Q11:Q72" si="12">IF($D11=0,0,AA11/$D11)</f>
        <v>0</v>
      </c>
      <c r="R11" s="165">
        <f t="shared" ref="R11:R72" si="13">IF($D11=0,0,AB11/$D11)</f>
        <v>0</v>
      </c>
      <c r="S11" s="165">
        <f t="shared" ref="S11:S72" si="14">IF($D11=0,0,AC11/$D11)</f>
        <v>0</v>
      </c>
      <c r="U11" s="163">
        <f t="shared" si="2"/>
        <v>0</v>
      </c>
      <c r="V11" s="163">
        <f t="shared" si="3"/>
        <v>0</v>
      </c>
      <c r="W11" s="163">
        <f t="shared" si="4"/>
        <v>0</v>
      </c>
      <c r="X11" s="163">
        <f t="shared" si="5"/>
        <v>0</v>
      </c>
      <c r="Y11" s="163">
        <f t="shared" si="6"/>
        <v>0</v>
      </c>
      <c r="Z11" s="163">
        <f t="shared" si="7"/>
        <v>0</v>
      </c>
      <c r="AA11" s="163">
        <f t="shared" ref="AA11:AC74" si="15">U11+X11</f>
        <v>0</v>
      </c>
      <c r="AB11" s="163">
        <f t="shared" si="15"/>
        <v>0</v>
      </c>
      <c r="AC11" s="163">
        <f t="shared" si="15"/>
        <v>0</v>
      </c>
      <c r="AE11" s="51" t="s">
        <v>137</v>
      </c>
      <c r="AF11" s="55">
        <v>0.86</v>
      </c>
      <c r="AG11" s="33">
        <v>17.8</v>
      </c>
      <c r="AH11" s="33">
        <v>2.9</v>
      </c>
      <c r="AI11" s="33">
        <v>3.5</v>
      </c>
      <c r="AJ11" s="191" t="s">
        <v>131</v>
      </c>
      <c r="AK11" s="56">
        <v>0.91</v>
      </c>
      <c r="AL11" s="53">
        <v>4.7</v>
      </c>
      <c r="AM11" s="53">
        <v>0.6</v>
      </c>
      <c r="AN11" s="53">
        <v>11.1</v>
      </c>
      <c r="AP11" s="54"/>
      <c r="AQ11" s="54"/>
      <c r="AS11" s="39" t="b">
        <f t="shared" si="8"/>
        <v>0</v>
      </c>
    </row>
    <row r="12" spans="2:45" s="5" customFormat="1" ht="14.25" customHeight="1" x14ac:dyDescent="0.25">
      <c r="B12" s="158" t="s">
        <v>434</v>
      </c>
      <c r="C12" s="34"/>
      <c r="D12" s="10"/>
      <c r="E12" s="10"/>
      <c r="F12" s="45">
        <f t="shared" si="0"/>
        <v>0</v>
      </c>
      <c r="G12" s="27"/>
      <c r="H12" s="9"/>
      <c r="I12" s="46">
        <f t="shared" si="9"/>
        <v>0</v>
      </c>
      <c r="J12" s="47" t="s">
        <v>169</v>
      </c>
      <c r="K12" s="48">
        <f>0.9</f>
        <v>0.9</v>
      </c>
      <c r="L12" s="9"/>
      <c r="M12" s="47" t="s">
        <v>272</v>
      </c>
      <c r="N12" s="48" t="str">
        <f t="shared" si="10"/>
        <v/>
      </c>
      <c r="O12" s="49">
        <f t="shared" si="11"/>
        <v>0</v>
      </c>
      <c r="P12" s="50" t="str">
        <f t="shared" si="1"/>
        <v/>
      </c>
      <c r="Q12" s="165">
        <f t="shared" si="12"/>
        <v>0</v>
      </c>
      <c r="R12" s="165">
        <f t="shared" si="13"/>
        <v>0</v>
      </c>
      <c r="S12" s="165">
        <f t="shared" si="14"/>
        <v>0</v>
      </c>
      <c r="U12" s="163">
        <f t="shared" si="2"/>
        <v>0</v>
      </c>
      <c r="V12" s="163">
        <f t="shared" si="3"/>
        <v>0</v>
      </c>
      <c r="W12" s="163">
        <f t="shared" si="4"/>
        <v>0</v>
      </c>
      <c r="X12" s="163">
        <f t="shared" si="5"/>
        <v>0</v>
      </c>
      <c r="Y12" s="163">
        <f t="shared" si="6"/>
        <v>0</v>
      </c>
      <c r="Z12" s="163">
        <f t="shared" si="7"/>
        <v>0</v>
      </c>
      <c r="AA12" s="163">
        <f t="shared" si="15"/>
        <v>0</v>
      </c>
      <c r="AB12" s="163">
        <f t="shared" si="15"/>
        <v>0</v>
      </c>
      <c r="AC12" s="163">
        <f t="shared" si="15"/>
        <v>0</v>
      </c>
      <c r="AE12" s="51" t="s">
        <v>137</v>
      </c>
      <c r="AF12" s="55">
        <v>0.86</v>
      </c>
      <c r="AG12" s="33">
        <v>18.100000000000001</v>
      </c>
      <c r="AH12" s="33">
        <v>3</v>
      </c>
      <c r="AI12" s="33">
        <v>3.7</v>
      </c>
      <c r="AJ12" s="191" t="s">
        <v>131</v>
      </c>
      <c r="AK12" s="56">
        <v>0.91</v>
      </c>
      <c r="AL12" s="53">
        <v>4.5</v>
      </c>
      <c r="AM12" s="53">
        <v>0.7</v>
      </c>
      <c r="AN12" s="53">
        <v>11.6</v>
      </c>
      <c r="AP12" s="54"/>
      <c r="AQ12" s="54"/>
      <c r="AS12" s="39" t="b">
        <f t="shared" si="8"/>
        <v>0</v>
      </c>
    </row>
    <row r="13" spans="2:45" s="5" customFormat="1" ht="14.25" customHeight="1" x14ac:dyDescent="0.25">
      <c r="B13" s="158" t="s">
        <v>87</v>
      </c>
      <c r="C13" s="34"/>
      <c r="D13" s="10"/>
      <c r="E13" s="10"/>
      <c r="F13" s="45">
        <f t="shared" si="0"/>
        <v>0</v>
      </c>
      <c r="G13" s="27"/>
      <c r="H13" s="9"/>
      <c r="I13" s="46">
        <f t="shared" si="9"/>
        <v>0</v>
      </c>
      <c r="J13" s="47" t="s">
        <v>169</v>
      </c>
      <c r="K13" s="48">
        <f>1</f>
        <v>1</v>
      </c>
      <c r="L13" s="9"/>
      <c r="M13" s="47" t="s">
        <v>272</v>
      </c>
      <c r="N13" s="48" t="str">
        <f t="shared" si="10"/>
        <v/>
      </c>
      <c r="O13" s="49">
        <f t="shared" si="11"/>
        <v>0</v>
      </c>
      <c r="P13" s="50" t="str">
        <f t="shared" si="1"/>
        <v/>
      </c>
      <c r="Q13" s="165">
        <f t="shared" si="12"/>
        <v>0</v>
      </c>
      <c r="R13" s="165">
        <f t="shared" si="13"/>
        <v>0</v>
      </c>
      <c r="S13" s="165">
        <f t="shared" si="14"/>
        <v>0</v>
      </c>
      <c r="U13" s="163">
        <f t="shared" si="2"/>
        <v>0</v>
      </c>
      <c r="V13" s="163">
        <f t="shared" si="3"/>
        <v>0</v>
      </c>
      <c r="W13" s="163">
        <f t="shared" si="4"/>
        <v>0</v>
      </c>
      <c r="X13" s="163">
        <f t="shared" si="5"/>
        <v>0</v>
      </c>
      <c r="Y13" s="163">
        <f t="shared" si="6"/>
        <v>0</v>
      </c>
      <c r="Z13" s="163">
        <f t="shared" si="7"/>
        <v>0</v>
      </c>
      <c r="AA13" s="163">
        <f t="shared" si="15"/>
        <v>0</v>
      </c>
      <c r="AB13" s="163">
        <f t="shared" si="15"/>
        <v>0</v>
      </c>
      <c r="AC13" s="163">
        <f t="shared" si="15"/>
        <v>0</v>
      </c>
      <c r="AE13" s="51" t="s">
        <v>137</v>
      </c>
      <c r="AF13" s="55">
        <v>0.86</v>
      </c>
      <c r="AG13" s="33">
        <v>16.2</v>
      </c>
      <c r="AH13" s="33">
        <v>3.5</v>
      </c>
      <c r="AI13" s="33">
        <v>5.0999999999999996</v>
      </c>
      <c r="AJ13" s="191" t="s">
        <v>131</v>
      </c>
      <c r="AK13" s="56">
        <v>0.91</v>
      </c>
      <c r="AL13" s="53">
        <v>4.5</v>
      </c>
      <c r="AM13" s="53">
        <v>1.1000000000000001</v>
      </c>
      <c r="AN13" s="53">
        <v>10.7</v>
      </c>
      <c r="AP13" s="54"/>
      <c r="AQ13" s="54"/>
      <c r="AS13" s="39" t="b">
        <f t="shared" si="8"/>
        <v>0</v>
      </c>
    </row>
    <row r="14" spans="2:45" s="5" customFormat="1" ht="14.25" customHeight="1" x14ac:dyDescent="0.25">
      <c r="B14" s="158" t="s">
        <v>80</v>
      </c>
      <c r="C14" s="34"/>
      <c r="D14" s="10"/>
      <c r="E14" s="10"/>
      <c r="F14" s="45">
        <f t="shared" si="0"/>
        <v>0</v>
      </c>
      <c r="G14" s="27"/>
      <c r="H14" s="9"/>
      <c r="I14" s="46">
        <f t="shared" si="9"/>
        <v>0</v>
      </c>
      <c r="J14" s="47" t="s">
        <v>169</v>
      </c>
      <c r="K14" s="48">
        <f>0.7</f>
        <v>0.7</v>
      </c>
      <c r="L14" s="9"/>
      <c r="M14" s="47" t="s">
        <v>272</v>
      </c>
      <c r="N14" s="48" t="str">
        <f t="shared" si="10"/>
        <v/>
      </c>
      <c r="O14" s="49">
        <f t="shared" si="11"/>
        <v>0</v>
      </c>
      <c r="P14" s="50" t="str">
        <f t="shared" si="1"/>
        <v/>
      </c>
      <c r="Q14" s="165">
        <f t="shared" si="12"/>
        <v>0</v>
      </c>
      <c r="R14" s="165">
        <f t="shared" si="13"/>
        <v>0</v>
      </c>
      <c r="S14" s="165">
        <f t="shared" si="14"/>
        <v>0</v>
      </c>
      <c r="U14" s="163">
        <f t="shared" si="2"/>
        <v>0</v>
      </c>
      <c r="V14" s="163">
        <f t="shared" si="3"/>
        <v>0</v>
      </c>
      <c r="W14" s="163">
        <f t="shared" si="4"/>
        <v>0</v>
      </c>
      <c r="X14" s="163">
        <f t="shared" si="5"/>
        <v>0</v>
      </c>
      <c r="Y14" s="163">
        <f t="shared" si="6"/>
        <v>0</v>
      </c>
      <c r="Z14" s="163">
        <f t="shared" si="7"/>
        <v>0</v>
      </c>
      <c r="AA14" s="163">
        <f t="shared" si="15"/>
        <v>0</v>
      </c>
      <c r="AB14" s="163">
        <f t="shared" si="15"/>
        <v>0</v>
      </c>
      <c r="AC14" s="163">
        <f t="shared" si="15"/>
        <v>0</v>
      </c>
      <c r="AE14" s="51" t="s">
        <v>137</v>
      </c>
      <c r="AF14" s="55">
        <v>0.86</v>
      </c>
      <c r="AG14" s="33">
        <v>17.2</v>
      </c>
      <c r="AH14" s="33">
        <v>3.4</v>
      </c>
      <c r="AI14" s="33">
        <v>5.0999999999999996</v>
      </c>
      <c r="AJ14" s="191" t="s">
        <v>131</v>
      </c>
      <c r="AK14" s="56">
        <v>0.91</v>
      </c>
      <c r="AL14" s="53">
        <v>5.9</v>
      </c>
      <c r="AM14" s="53">
        <v>1</v>
      </c>
      <c r="AN14" s="53">
        <v>11.7</v>
      </c>
      <c r="AP14" s="54"/>
      <c r="AQ14" s="54"/>
      <c r="AS14" s="39" t="b">
        <f t="shared" si="8"/>
        <v>0</v>
      </c>
    </row>
    <row r="15" spans="2:45" s="5" customFormat="1" ht="14.25" customHeight="1" x14ac:dyDescent="0.25">
      <c r="B15" s="689" t="s">
        <v>183</v>
      </c>
      <c r="C15" s="31" t="s">
        <v>178</v>
      </c>
      <c r="D15" s="10"/>
      <c r="E15" s="10"/>
      <c r="F15" s="45">
        <f t="shared" si="0"/>
        <v>0</v>
      </c>
      <c r="G15" s="27"/>
      <c r="H15" s="9"/>
      <c r="I15" s="46">
        <f t="shared" si="9"/>
        <v>0</v>
      </c>
      <c r="J15" s="47" t="s">
        <v>169</v>
      </c>
      <c r="K15" s="48">
        <f>0.6</f>
        <v>0.6</v>
      </c>
      <c r="L15" s="9"/>
      <c r="M15" s="47" t="s">
        <v>272</v>
      </c>
      <c r="N15" s="48" t="str">
        <f t="shared" si="10"/>
        <v/>
      </c>
      <c r="O15" s="49">
        <f t="shared" si="11"/>
        <v>0</v>
      </c>
      <c r="P15" s="50" t="str">
        <f t="shared" si="1"/>
        <v/>
      </c>
      <c r="Q15" s="165">
        <f t="shared" si="12"/>
        <v>0</v>
      </c>
      <c r="R15" s="165">
        <f t="shared" si="13"/>
        <v>0</v>
      </c>
      <c r="S15" s="165">
        <f t="shared" si="14"/>
        <v>0</v>
      </c>
      <c r="U15" s="163">
        <f t="shared" si="2"/>
        <v>0</v>
      </c>
      <c r="V15" s="163">
        <f t="shared" si="3"/>
        <v>0</v>
      </c>
      <c r="W15" s="163">
        <f t="shared" si="4"/>
        <v>0</v>
      </c>
      <c r="X15" s="163">
        <f t="shared" si="5"/>
        <v>0</v>
      </c>
      <c r="Y15" s="163">
        <f t="shared" si="6"/>
        <v>0</v>
      </c>
      <c r="Z15" s="163">
        <f t="shared" si="7"/>
        <v>0</v>
      </c>
      <c r="AA15" s="163">
        <f t="shared" si="15"/>
        <v>0</v>
      </c>
      <c r="AB15" s="163">
        <f t="shared" si="15"/>
        <v>0</v>
      </c>
      <c r="AC15" s="163">
        <f t="shared" si="15"/>
        <v>0</v>
      </c>
      <c r="AE15" s="51" t="s">
        <v>137</v>
      </c>
      <c r="AF15" s="55">
        <v>0.86</v>
      </c>
      <c r="AG15" s="33">
        <v>15.1</v>
      </c>
      <c r="AH15" s="33">
        <v>2.8</v>
      </c>
      <c r="AI15" s="33">
        <v>3.9</v>
      </c>
      <c r="AJ15" s="191" t="s">
        <v>131</v>
      </c>
      <c r="AK15" s="56">
        <v>0.91</v>
      </c>
      <c r="AL15" s="53">
        <v>5.9</v>
      </c>
      <c r="AM15" s="53">
        <v>0.8</v>
      </c>
      <c r="AN15" s="53">
        <v>13.7</v>
      </c>
      <c r="AP15" s="54"/>
      <c r="AQ15" s="54"/>
      <c r="AS15" s="39" t="b">
        <f t="shared" si="8"/>
        <v>0</v>
      </c>
    </row>
    <row r="16" spans="2:45" s="5" customFormat="1" ht="14.25" customHeight="1" x14ac:dyDescent="0.25">
      <c r="B16" s="690"/>
      <c r="C16" s="31" t="s">
        <v>179</v>
      </c>
      <c r="D16" s="10"/>
      <c r="E16" s="10"/>
      <c r="F16" s="45">
        <f t="shared" si="0"/>
        <v>0</v>
      </c>
      <c r="G16" s="27"/>
      <c r="H16" s="9"/>
      <c r="I16" s="46">
        <f t="shared" si="9"/>
        <v>0</v>
      </c>
      <c r="J16" s="47" t="s">
        <v>169</v>
      </c>
      <c r="K16" s="48">
        <v>0.6</v>
      </c>
      <c r="L16" s="9"/>
      <c r="M16" s="47" t="s">
        <v>272</v>
      </c>
      <c r="N16" s="48" t="str">
        <f t="shared" si="10"/>
        <v/>
      </c>
      <c r="O16" s="49">
        <f t="shared" si="11"/>
        <v>0</v>
      </c>
      <c r="P16" s="50" t="str">
        <f t="shared" si="1"/>
        <v/>
      </c>
      <c r="Q16" s="165">
        <f t="shared" si="12"/>
        <v>0</v>
      </c>
      <c r="R16" s="165">
        <f t="shared" si="13"/>
        <v>0</v>
      </c>
      <c r="S16" s="165">
        <f t="shared" si="14"/>
        <v>0</v>
      </c>
      <c r="U16" s="163">
        <f t="shared" si="2"/>
        <v>0</v>
      </c>
      <c r="V16" s="163">
        <f t="shared" si="3"/>
        <v>0</v>
      </c>
      <c r="W16" s="163">
        <f t="shared" si="4"/>
        <v>0</v>
      </c>
      <c r="X16" s="163">
        <f t="shared" si="5"/>
        <v>0</v>
      </c>
      <c r="Y16" s="163">
        <f t="shared" si="6"/>
        <v>0</v>
      </c>
      <c r="Z16" s="163">
        <f t="shared" si="7"/>
        <v>0</v>
      </c>
      <c r="AA16" s="163">
        <f t="shared" si="15"/>
        <v>0</v>
      </c>
      <c r="AB16" s="163">
        <f t="shared" si="15"/>
        <v>0</v>
      </c>
      <c r="AC16" s="163">
        <f t="shared" si="15"/>
        <v>0</v>
      </c>
      <c r="AE16" s="51" t="s">
        <v>137</v>
      </c>
      <c r="AF16" s="55">
        <v>0.86</v>
      </c>
      <c r="AG16" s="33">
        <v>17.2</v>
      </c>
      <c r="AH16" s="33">
        <v>2.8</v>
      </c>
      <c r="AI16" s="33">
        <v>3.9</v>
      </c>
      <c r="AJ16" s="191" t="s">
        <v>131</v>
      </c>
      <c r="AK16" s="56">
        <v>0.91</v>
      </c>
      <c r="AL16" s="53">
        <v>5.9</v>
      </c>
      <c r="AM16" s="53">
        <v>0.8</v>
      </c>
      <c r="AN16" s="53">
        <v>13.7</v>
      </c>
      <c r="AP16" s="54"/>
      <c r="AQ16" s="54"/>
      <c r="AS16" s="39" t="b">
        <f t="shared" si="8"/>
        <v>0</v>
      </c>
    </row>
    <row r="17" spans="2:45" s="5" customFormat="1" ht="14.25" customHeight="1" x14ac:dyDescent="0.25">
      <c r="B17" s="158" t="s">
        <v>81</v>
      </c>
      <c r="C17" s="34"/>
      <c r="D17" s="10"/>
      <c r="E17" s="10"/>
      <c r="F17" s="45">
        <f t="shared" si="0"/>
        <v>0</v>
      </c>
      <c r="G17" s="27"/>
      <c r="H17" s="9"/>
      <c r="I17" s="46">
        <f t="shared" si="9"/>
        <v>0</v>
      </c>
      <c r="J17" s="47" t="s">
        <v>169</v>
      </c>
      <c r="K17" s="48">
        <f>1.1</f>
        <v>1.1000000000000001</v>
      </c>
      <c r="L17" s="9"/>
      <c r="M17" s="47" t="s">
        <v>272</v>
      </c>
      <c r="N17" s="48" t="str">
        <f t="shared" si="10"/>
        <v/>
      </c>
      <c r="O17" s="49">
        <f t="shared" si="11"/>
        <v>0</v>
      </c>
      <c r="P17" s="50" t="str">
        <f t="shared" si="1"/>
        <v/>
      </c>
      <c r="Q17" s="165">
        <f t="shared" si="12"/>
        <v>0</v>
      </c>
      <c r="R17" s="165">
        <f t="shared" si="13"/>
        <v>0</v>
      </c>
      <c r="S17" s="165">
        <f t="shared" si="14"/>
        <v>0</v>
      </c>
      <c r="U17" s="163">
        <f t="shared" si="2"/>
        <v>0</v>
      </c>
      <c r="V17" s="163">
        <f t="shared" si="3"/>
        <v>0</v>
      </c>
      <c r="W17" s="163">
        <f t="shared" si="4"/>
        <v>0</v>
      </c>
      <c r="X17" s="163">
        <f t="shared" si="5"/>
        <v>0</v>
      </c>
      <c r="Y17" s="163">
        <f t="shared" si="6"/>
        <v>0</v>
      </c>
      <c r="Z17" s="163">
        <f t="shared" si="7"/>
        <v>0</v>
      </c>
      <c r="AA17" s="163">
        <f t="shared" si="15"/>
        <v>0</v>
      </c>
      <c r="AB17" s="163">
        <f t="shared" si="15"/>
        <v>0</v>
      </c>
      <c r="AC17" s="163">
        <f t="shared" si="15"/>
        <v>0</v>
      </c>
      <c r="AE17" s="51" t="s">
        <v>137</v>
      </c>
      <c r="AF17" s="55">
        <v>0.86</v>
      </c>
      <c r="AG17" s="33">
        <v>18.600000000000001</v>
      </c>
      <c r="AH17" s="33">
        <v>4</v>
      </c>
      <c r="AI17" s="33">
        <v>5.0999999999999996</v>
      </c>
      <c r="AJ17" s="191" t="s">
        <v>131</v>
      </c>
      <c r="AK17" s="56">
        <v>0.91</v>
      </c>
      <c r="AL17" s="53">
        <v>6.2</v>
      </c>
      <c r="AM17" s="53">
        <v>1.6</v>
      </c>
      <c r="AN17" s="53">
        <v>19</v>
      </c>
      <c r="AP17" s="54"/>
      <c r="AQ17" s="54"/>
      <c r="AS17" s="39" t="b">
        <f t="shared" si="8"/>
        <v>0</v>
      </c>
    </row>
    <row r="18" spans="2:45" s="5" customFormat="1" ht="14.25" customHeight="1" x14ac:dyDescent="0.25">
      <c r="B18" s="158" t="s">
        <v>82</v>
      </c>
      <c r="C18" s="34"/>
      <c r="D18" s="10"/>
      <c r="E18" s="10"/>
      <c r="F18" s="45">
        <f t="shared" si="0"/>
        <v>0</v>
      </c>
      <c r="G18" s="27"/>
      <c r="H18" s="9"/>
      <c r="I18" s="46">
        <f t="shared" si="9"/>
        <v>0</v>
      </c>
      <c r="J18" s="47" t="s">
        <v>169</v>
      </c>
      <c r="K18" s="48">
        <f>0.9</f>
        <v>0.9</v>
      </c>
      <c r="L18" s="9"/>
      <c r="M18" s="47" t="s">
        <v>272</v>
      </c>
      <c r="N18" s="48" t="str">
        <f t="shared" si="10"/>
        <v/>
      </c>
      <c r="O18" s="49">
        <f t="shared" si="11"/>
        <v>0</v>
      </c>
      <c r="P18" s="50" t="str">
        <f t="shared" si="1"/>
        <v/>
      </c>
      <c r="Q18" s="165">
        <f t="shared" si="12"/>
        <v>0</v>
      </c>
      <c r="R18" s="165">
        <f t="shared" si="13"/>
        <v>0</v>
      </c>
      <c r="S18" s="165">
        <f t="shared" si="14"/>
        <v>0</v>
      </c>
      <c r="U18" s="163">
        <f t="shared" si="2"/>
        <v>0</v>
      </c>
      <c r="V18" s="163">
        <f t="shared" si="3"/>
        <v>0</v>
      </c>
      <c r="W18" s="163">
        <f t="shared" si="4"/>
        <v>0</v>
      </c>
      <c r="X18" s="163">
        <f t="shared" si="5"/>
        <v>0</v>
      </c>
      <c r="Y18" s="163">
        <f t="shared" si="6"/>
        <v>0</v>
      </c>
      <c r="Z18" s="163">
        <f t="shared" si="7"/>
        <v>0</v>
      </c>
      <c r="AA18" s="163">
        <f t="shared" si="15"/>
        <v>0</v>
      </c>
      <c r="AB18" s="163">
        <f t="shared" si="15"/>
        <v>0</v>
      </c>
      <c r="AC18" s="163">
        <f t="shared" si="15"/>
        <v>0</v>
      </c>
      <c r="AE18" s="51" t="s">
        <v>137</v>
      </c>
      <c r="AF18" s="55">
        <v>0.86</v>
      </c>
      <c r="AG18" s="33">
        <v>17.899999999999999</v>
      </c>
      <c r="AH18" s="33">
        <v>3.9</v>
      </c>
      <c r="AI18" s="33">
        <v>4.5999999999999996</v>
      </c>
      <c r="AJ18" s="191" t="s">
        <v>131</v>
      </c>
      <c r="AK18" s="56">
        <v>0.91</v>
      </c>
      <c r="AL18" s="53">
        <v>5.9</v>
      </c>
      <c r="AM18" s="53">
        <v>1</v>
      </c>
      <c r="AN18" s="53">
        <v>13.4</v>
      </c>
      <c r="AP18" s="54"/>
      <c r="AQ18" s="54"/>
      <c r="AS18" s="39" t="b">
        <f t="shared" si="8"/>
        <v>0</v>
      </c>
    </row>
    <row r="19" spans="2:45" s="5" customFormat="1" ht="14.25" customHeight="1" x14ac:dyDescent="0.25">
      <c r="B19" s="158" t="s">
        <v>83</v>
      </c>
      <c r="C19" s="34"/>
      <c r="D19" s="10"/>
      <c r="E19" s="10"/>
      <c r="F19" s="45">
        <f t="shared" si="0"/>
        <v>0</v>
      </c>
      <c r="G19" s="27"/>
      <c r="H19" s="9"/>
      <c r="I19" s="46">
        <f t="shared" si="9"/>
        <v>0</v>
      </c>
      <c r="J19" s="47" t="s">
        <v>169</v>
      </c>
      <c r="K19" s="48">
        <v>1</v>
      </c>
      <c r="L19" s="9"/>
      <c r="M19" s="47" t="s">
        <v>272</v>
      </c>
      <c r="N19" s="48" t="str">
        <f t="shared" si="10"/>
        <v/>
      </c>
      <c r="O19" s="49">
        <f t="shared" si="11"/>
        <v>0</v>
      </c>
      <c r="P19" s="50" t="str">
        <f t="shared" si="1"/>
        <v/>
      </c>
      <c r="Q19" s="165">
        <f t="shared" si="12"/>
        <v>0</v>
      </c>
      <c r="R19" s="165">
        <f t="shared" si="13"/>
        <v>0</v>
      </c>
      <c r="S19" s="165">
        <f t="shared" si="14"/>
        <v>0</v>
      </c>
      <c r="U19" s="163">
        <f t="shared" si="2"/>
        <v>0</v>
      </c>
      <c r="V19" s="163">
        <f t="shared" si="3"/>
        <v>0</v>
      </c>
      <c r="W19" s="163">
        <f t="shared" si="4"/>
        <v>0</v>
      </c>
      <c r="X19" s="163">
        <f t="shared" si="5"/>
        <v>0</v>
      </c>
      <c r="Y19" s="163">
        <f t="shared" si="6"/>
        <v>0</v>
      </c>
      <c r="Z19" s="163">
        <f t="shared" si="7"/>
        <v>0</v>
      </c>
      <c r="AA19" s="163">
        <f t="shared" si="15"/>
        <v>0</v>
      </c>
      <c r="AB19" s="163">
        <f t="shared" si="15"/>
        <v>0</v>
      </c>
      <c r="AC19" s="163">
        <f t="shared" si="15"/>
        <v>0</v>
      </c>
      <c r="AE19" s="51" t="s">
        <v>137</v>
      </c>
      <c r="AF19" s="55">
        <v>0.86</v>
      </c>
      <c r="AG19" s="33">
        <v>15.8</v>
      </c>
      <c r="AH19" s="33">
        <v>3.5</v>
      </c>
      <c r="AI19" s="33">
        <v>4.5999999999999996</v>
      </c>
      <c r="AJ19" s="191" t="s">
        <v>131</v>
      </c>
      <c r="AK19" s="56">
        <v>0.91</v>
      </c>
      <c r="AL19" s="53">
        <v>9.5</v>
      </c>
      <c r="AM19" s="53">
        <v>1.2</v>
      </c>
      <c r="AN19" s="53">
        <v>17.100000000000001</v>
      </c>
      <c r="AP19" s="54"/>
      <c r="AQ19" s="54"/>
      <c r="AS19" s="39" t="b">
        <f t="shared" si="8"/>
        <v>0</v>
      </c>
    </row>
    <row r="20" spans="2:45" s="5" customFormat="1" ht="14.25" customHeight="1" x14ac:dyDescent="0.25">
      <c r="B20" s="158" t="s">
        <v>165</v>
      </c>
      <c r="C20" s="34"/>
      <c r="D20" s="10"/>
      <c r="E20" s="10"/>
      <c r="F20" s="45">
        <f t="shared" si="0"/>
        <v>0</v>
      </c>
      <c r="G20" s="27"/>
      <c r="H20" s="9"/>
      <c r="I20" s="46">
        <f t="shared" si="9"/>
        <v>0</v>
      </c>
      <c r="J20" s="47" t="s">
        <v>169</v>
      </c>
      <c r="K20" s="48">
        <v>0.5</v>
      </c>
      <c r="L20" s="9"/>
      <c r="M20" s="47" t="s">
        <v>272</v>
      </c>
      <c r="N20" s="48" t="str">
        <f t="shared" si="10"/>
        <v/>
      </c>
      <c r="O20" s="49">
        <f t="shared" si="11"/>
        <v>0</v>
      </c>
      <c r="P20" s="50" t="str">
        <f t="shared" ref="P20:P26" si="16">IF(O20&lt;0,"!",IF(AS20=TRUE,"!",""))</f>
        <v/>
      </c>
      <c r="Q20" s="165">
        <f t="shared" si="12"/>
        <v>0</v>
      </c>
      <c r="R20" s="165">
        <f t="shared" si="13"/>
        <v>0</v>
      </c>
      <c r="S20" s="165">
        <f t="shared" si="14"/>
        <v>0</v>
      </c>
      <c r="U20" s="163">
        <f t="shared" si="2"/>
        <v>0</v>
      </c>
      <c r="V20" s="163">
        <f t="shared" si="3"/>
        <v>0</v>
      </c>
      <c r="W20" s="163">
        <f t="shared" si="4"/>
        <v>0</v>
      </c>
      <c r="X20" s="163">
        <f t="shared" si="5"/>
        <v>0</v>
      </c>
      <c r="Y20" s="163">
        <f t="shared" si="6"/>
        <v>0</v>
      </c>
      <c r="Z20" s="163">
        <f t="shared" si="7"/>
        <v>0</v>
      </c>
      <c r="AA20" s="163">
        <f t="shared" si="15"/>
        <v>0</v>
      </c>
      <c r="AB20" s="163">
        <f t="shared" si="15"/>
        <v>0</v>
      </c>
      <c r="AC20" s="163">
        <f t="shared" si="15"/>
        <v>0</v>
      </c>
      <c r="AE20" s="51" t="s">
        <v>137</v>
      </c>
      <c r="AF20" s="55">
        <v>0.91</v>
      </c>
      <c r="AG20" s="33">
        <v>17.899999999999999</v>
      </c>
      <c r="AH20" s="33">
        <v>2.8</v>
      </c>
      <c r="AI20" s="33">
        <v>3.3</v>
      </c>
      <c r="AJ20" s="191" t="s">
        <v>131</v>
      </c>
      <c r="AK20" s="56">
        <v>0.92</v>
      </c>
      <c r="AL20" s="53">
        <v>6.2</v>
      </c>
      <c r="AM20" s="53">
        <v>0.7</v>
      </c>
      <c r="AN20" s="53">
        <v>10.3</v>
      </c>
      <c r="AP20" s="54"/>
      <c r="AQ20" s="54"/>
      <c r="AS20" s="39" t="b">
        <f t="shared" si="8"/>
        <v>0</v>
      </c>
    </row>
    <row r="21" spans="2:45" s="5" customFormat="1" ht="14.25" customHeight="1" x14ac:dyDescent="0.25">
      <c r="B21" s="158" t="s">
        <v>432</v>
      </c>
      <c r="C21" s="34"/>
      <c r="D21" s="10"/>
      <c r="E21" s="10"/>
      <c r="F21" s="45">
        <f t="shared" si="0"/>
        <v>0</v>
      </c>
      <c r="G21" s="27"/>
      <c r="H21" s="9"/>
      <c r="I21" s="46">
        <f t="shared" si="9"/>
        <v>0</v>
      </c>
      <c r="J21" s="47" t="s">
        <v>169</v>
      </c>
      <c r="K21" s="48">
        <v>1</v>
      </c>
      <c r="L21" s="9"/>
      <c r="M21" s="47" t="s">
        <v>272</v>
      </c>
      <c r="N21" s="48" t="str">
        <f t="shared" si="10"/>
        <v/>
      </c>
      <c r="O21" s="49">
        <f t="shared" si="11"/>
        <v>0</v>
      </c>
      <c r="P21" s="200" t="str">
        <f t="shared" si="16"/>
        <v/>
      </c>
      <c r="Q21" s="165">
        <f t="shared" si="12"/>
        <v>0</v>
      </c>
      <c r="R21" s="165">
        <f t="shared" si="13"/>
        <v>0</v>
      </c>
      <c r="S21" s="165">
        <f t="shared" si="14"/>
        <v>0</v>
      </c>
      <c r="U21" s="163">
        <f t="shared" si="2"/>
        <v>0</v>
      </c>
      <c r="V21" s="163">
        <f t="shared" si="3"/>
        <v>0</v>
      </c>
      <c r="W21" s="163">
        <f t="shared" si="4"/>
        <v>0</v>
      </c>
      <c r="X21" s="163">
        <f t="shared" si="5"/>
        <v>0</v>
      </c>
      <c r="Y21" s="163">
        <f t="shared" si="6"/>
        <v>0</v>
      </c>
      <c r="Z21" s="163">
        <f t="shared" si="7"/>
        <v>0</v>
      </c>
      <c r="AA21" s="163">
        <f t="shared" si="15"/>
        <v>0</v>
      </c>
      <c r="AB21" s="163">
        <f t="shared" si="15"/>
        <v>0</v>
      </c>
      <c r="AC21" s="163">
        <f t="shared" si="15"/>
        <v>0</v>
      </c>
      <c r="AE21" s="51" t="s">
        <v>137</v>
      </c>
      <c r="AF21" s="55">
        <v>0.86</v>
      </c>
      <c r="AG21" s="201">
        <v>18</v>
      </c>
      <c r="AH21" s="201">
        <v>3</v>
      </c>
      <c r="AI21" s="201">
        <v>4</v>
      </c>
      <c r="AJ21" s="191" t="s">
        <v>131</v>
      </c>
      <c r="AK21" s="56">
        <v>0.91</v>
      </c>
      <c r="AL21" s="202">
        <v>5</v>
      </c>
      <c r="AM21" s="202">
        <v>1</v>
      </c>
      <c r="AN21" s="202">
        <v>12</v>
      </c>
      <c r="AP21" s="54"/>
      <c r="AQ21" s="54"/>
      <c r="AS21" s="203" t="b">
        <f t="shared" si="8"/>
        <v>0</v>
      </c>
    </row>
    <row r="22" spans="2:45" s="5" customFormat="1" ht="14.25" customHeight="1" x14ac:dyDescent="0.25">
      <c r="B22" s="158" t="s">
        <v>431</v>
      </c>
      <c r="C22" s="34"/>
      <c r="D22" s="10"/>
      <c r="E22" s="10"/>
      <c r="F22" s="45">
        <f t="shared" si="0"/>
        <v>0</v>
      </c>
      <c r="G22" s="27"/>
      <c r="H22" s="9"/>
      <c r="I22" s="46">
        <f t="shared" si="9"/>
        <v>0</v>
      </c>
      <c r="J22" s="47" t="s">
        <v>169</v>
      </c>
      <c r="K22" s="48">
        <v>2</v>
      </c>
      <c r="L22" s="9"/>
      <c r="M22" s="47" t="s">
        <v>272</v>
      </c>
      <c r="N22" s="48" t="str">
        <f t="shared" si="10"/>
        <v/>
      </c>
      <c r="O22" s="49">
        <f t="shared" si="11"/>
        <v>0</v>
      </c>
      <c r="P22" s="200" t="str">
        <f t="shared" si="16"/>
        <v/>
      </c>
      <c r="Q22" s="165">
        <f t="shared" si="12"/>
        <v>0</v>
      </c>
      <c r="R22" s="165">
        <f t="shared" si="13"/>
        <v>0</v>
      </c>
      <c r="S22" s="165">
        <f t="shared" si="14"/>
        <v>0</v>
      </c>
      <c r="U22" s="163">
        <f t="shared" si="2"/>
        <v>0</v>
      </c>
      <c r="V22" s="163">
        <f t="shared" si="3"/>
        <v>0</v>
      </c>
      <c r="W22" s="163">
        <f t="shared" si="4"/>
        <v>0</v>
      </c>
      <c r="X22" s="163">
        <f t="shared" si="5"/>
        <v>0</v>
      </c>
      <c r="Y22" s="163">
        <f t="shared" si="6"/>
        <v>0</v>
      </c>
      <c r="Z22" s="163">
        <f t="shared" si="7"/>
        <v>0</v>
      </c>
      <c r="AA22" s="163">
        <f t="shared" si="15"/>
        <v>0</v>
      </c>
      <c r="AB22" s="163">
        <f t="shared" si="15"/>
        <v>0</v>
      </c>
      <c r="AC22" s="163">
        <f t="shared" si="15"/>
        <v>0</v>
      </c>
      <c r="AE22" s="51" t="s">
        <v>137</v>
      </c>
      <c r="AF22" s="55">
        <v>0.86</v>
      </c>
      <c r="AG22" s="201">
        <v>20.7</v>
      </c>
      <c r="AH22" s="201">
        <v>3.4</v>
      </c>
      <c r="AI22" s="201">
        <v>6.5</v>
      </c>
      <c r="AJ22" s="191" t="s">
        <v>131</v>
      </c>
      <c r="AK22" s="56">
        <v>0.91</v>
      </c>
      <c r="AL22" s="202">
        <v>11.4</v>
      </c>
      <c r="AM22" s="202">
        <v>3.1</v>
      </c>
      <c r="AN22" s="202">
        <v>20.6</v>
      </c>
      <c r="AP22" s="54"/>
      <c r="AQ22" s="54"/>
      <c r="AS22" s="203" t="b">
        <f t="shared" si="8"/>
        <v>0</v>
      </c>
    </row>
    <row r="23" spans="2:45" s="5" customFormat="1" ht="14.25" customHeight="1" x14ac:dyDescent="0.25">
      <c r="B23" s="158" t="s">
        <v>262</v>
      </c>
      <c r="C23" s="34"/>
      <c r="D23" s="10"/>
      <c r="E23" s="10"/>
      <c r="F23" s="45">
        <f t="shared" si="0"/>
        <v>0</v>
      </c>
      <c r="G23" s="27"/>
      <c r="H23" s="9"/>
      <c r="I23" s="46">
        <f t="shared" si="9"/>
        <v>0</v>
      </c>
      <c r="J23" s="47" t="s">
        <v>169</v>
      </c>
      <c r="K23" s="48">
        <v>1</v>
      </c>
      <c r="L23" s="9"/>
      <c r="M23" s="47" t="s">
        <v>272</v>
      </c>
      <c r="N23" s="48" t="str">
        <f t="shared" si="10"/>
        <v/>
      </c>
      <c r="O23" s="49">
        <f t="shared" si="11"/>
        <v>0</v>
      </c>
      <c r="P23" s="50" t="str">
        <f t="shared" si="16"/>
        <v/>
      </c>
      <c r="Q23" s="165">
        <f t="shared" si="12"/>
        <v>0</v>
      </c>
      <c r="R23" s="165">
        <f t="shared" si="13"/>
        <v>0</v>
      </c>
      <c r="S23" s="165">
        <f t="shared" si="14"/>
        <v>0</v>
      </c>
      <c r="U23" s="163">
        <f t="shared" si="2"/>
        <v>0</v>
      </c>
      <c r="V23" s="163">
        <f t="shared" si="3"/>
        <v>0</v>
      </c>
      <c r="W23" s="163">
        <f t="shared" si="4"/>
        <v>0</v>
      </c>
      <c r="X23" s="163">
        <f t="shared" si="5"/>
        <v>0</v>
      </c>
      <c r="Y23" s="163">
        <f t="shared" si="6"/>
        <v>0</v>
      </c>
      <c r="Z23" s="163">
        <f t="shared" si="7"/>
        <v>0</v>
      </c>
      <c r="AA23" s="163">
        <f t="shared" si="15"/>
        <v>0</v>
      </c>
      <c r="AB23" s="163">
        <f t="shared" si="15"/>
        <v>0</v>
      </c>
      <c r="AC23" s="163">
        <f t="shared" si="15"/>
        <v>0</v>
      </c>
      <c r="AE23" s="51" t="s">
        <v>137</v>
      </c>
      <c r="AF23" s="55">
        <v>0.86</v>
      </c>
      <c r="AG23" s="33">
        <v>35.9</v>
      </c>
      <c r="AH23" s="33">
        <v>3.6</v>
      </c>
      <c r="AI23" s="33">
        <v>8.4</v>
      </c>
      <c r="AJ23" s="191" t="s">
        <v>131</v>
      </c>
      <c r="AK23" s="56">
        <v>0.86</v>
      </c>
      <c r="AL23" s="53">
        <v>15.1</v>
      </c>
      <c r="AM23" s="53">
        <v>1.5</v>
      </c>
      <c r="AN23" s="53">
        <v>15.1</v>
      </c>
      <c r="AP23" s="127">
        <v>120</v>
      </c>
      <c r="AQ23" s="57">
        <f>D23*AP23</f>
        <v>0</v>
      </c>
      <c r="AS23" s="39" t="b">
        <f t="shared" si="8"/>
        <v>0</v>
      </c>
    </row>
    <row r="24" spans="2:45" s="5" customFormat="1" ht="14.25" customHeight="1" x14ac:dyDescent="0.25">
      <c r="B24" s="158" t="s">
        <v>88</v>
      </c>
      <c r="C24" s="34"/>
      <c r="D24" s="10"/>
      <c r="E24" s="10"/>
      <c r="F24" s="45">
        <f t="shared" si="0"/>
        <v>0</v>
      </c>
      <c r="G24" s="27"/>
      <c r="H24" s="9"/>
      <c r="I24" s="46">
        <f t="shared" si="9"/>
        <v>0</v>
      </c>
      <c r="J24" s="47" t="s">
        <v>169</v>
      </c>
      <c r="K24" s="48">
        <v>1</v>
      </c>
      <c r="L24" s="9"/>
      <c r="M24" s="47" t="s">
        <v>272</v>
      </c>
      <c r="N24" s="48" t="str">
        <f t="shared" si="10"/>
        <v/>
      </c>
      <c r="O24" s="49">
        <f t="shared" si="11"/>
        <v>0</v>
      </c>
      <c r="P24" s="50" t="str">
        <f t="shared" si="16"/>
        <v/>
      </c>
      <c r="Q24" s="165">
        <f t="shared" si="12"/>
        <v>0</v>
      </c>
      <c r="R24" s="165">
        <f t="shared" si="13"/>
        <v>0</v>
      </c>
      <c r="S24" s="165">
        <f t="shared" si="14"/>
        <v>0</v>
      </c>
      <c r="U24" s="163">
        <f t="shared" si="2"/>
        <v>0</v>
      </c>
      <c r="V24" s="163">
        <f t="shared" si="3"/>
        <v>0</v>
      </c>
      <c r="W24" s="163">
        <f t="shared" si="4"/>
        <v>0</v>
      </c>
      <c r="X24" s="163">
        <f t="shared" si="5"/>
        <v>0</v>
      </c>
      <c r="Y24" s="163">
        <f t="shared" si="6"/>
        <v>0</v>
      </c>
      <c r="Z24" s="163">
        <f t="shared" si="7"/>
        <v>0</v>
      </c>
      <c r="AA24" s="163">
        <f t="shared" si="15"/>
        <v>0</v>
      </c>
      <c r="AB24" s="163">
        <f t="shared" si="15"/>
        <v>0</v>
      </c>
      <c r="AC24" s="163">
        <f t="shared" si="15"/>
        <v>0</v>
      </c>
      <c r="AE24" s="51" t="s">
        <v>137</v>
      </c>
      <c r="AF24" s="55">
        <v>0.86</v>
      </c>
      <c r="AG24" s="33">
        <v>55.6</v>
      </c>
      <c r="AH24" s="33">
        <v>7</v>
      </c>
      <c r="AI24" s="33">
        <v>13.1</v>
      </c>
      <c r="AJ24" s="191" t="s">
        <v>131</v>
      </c>
      <c r="AK24" s="56">
        <v>0.86</v>
      </c>
      <c r="AL24" s="53">
        <v>12.1</v>
      </c>
      <c r="AM24" s="53">
        <v>1.6</v>
      </c>
      <c r="AN24" s="53">
        <v>15.6</v>
      </c>
      <c r="AP24" s="127">
        <v>80</v>
      </c>
      <c r="AQ24" s="57">
        <f>D24*AP24</f>
        <v>0</v>
      </c>
      <c r="AS24" s="39" t="b">
        <f t="shared" si="8"/>
        <v>0</v>
      </c>
    </row>
    <row r="25" spans="2:45" s="5" customFormat="1" ht="14.25" customHeight="1" x14ac:dyDescent="0.25">
      <c r="B25" s="158" t="s">
        <v>263</v>
      </c>
      <c r="C25" s="34"/>
      <c r="D25" s="10"/>
      <c r="E25" s="10"/>
      <c r="F25" s="45">
        <f t="shared" si="0"/>
        <v>0</v>
      </c>
      <c r="G25" s="27"/>
      <c r="H25" s="9"/>
      <c r="I25" s="46">
        <f t="shared" si="9"/>
        <v>0</v>
      </c>
      <c r="J25" s="47" t="s">
        <v>169</v>
      </c>
      <c r="K25" s="48">
        <v>0.9</v>
      </c>
      <c r="L25" s="9"/>
      <c r="M25" s="47" t="s">
        <v>272</v>
      </c>
      <c r="N25" s="48" t="str">
        <f t="shared" si="10"/>
        <v/>
      </c>
      <c r="O25" s="49">
        <f t="shared" si="11"/>
        <v>0</v>
      </c>
      <c r="P25" s="50" t="str">
        <f t="shared" si="16"/>
        <v/>
      </c>
      <c r="Q25" s="165">
        <f t="shared" si="12"/>
        <v>0</v>
      </c>
      <c r="R25" s="165">
        <f t="shared" si="13"/>
        <v>0</v>
      </c>
      <c r="S25" s="165">
        <f t="shared" si="14"/>
        <v>0</v>
      </c>
      <c r="U25" s="163">
        <f t="shared" si="2"/>
        <v>0</v>
      </c>
      <c r="V25" s="163">
        <f t="shared" si="3"/>
        <v>0</v>
      </c>
      <c r="W25" s="163">
        <f t="shared" si="4"/>
        <v>0</v>
      </c>
      <c r="X25" s="163">
        <f t="shared" si="5"/>
        <v>0</v>
      </c>
      <c r="Y25" s="163">
        <f t="shared" si="6"/>
        <v>0</v>
      </c>
      <c r="Z25" s="163">
        <f t="shared" si="7"/>
        <v>0</v>
      </c>
      <c r="AA25" s="163">
        <f t="shared" si="15"/>
        <v>0</v>
      </c>
      <c r="AB25" s="163">
        <f t="shared" si="15"/>
        <v>0</v>
      </c>
      <c r="AC25" s="163">
        <f t="shared" si="15"/>
        <v>0</v>
      </c>
      <c r="AE25" s="51" t="s">
        <v>137</v>
      </c>
      <c r="AF25" s="55">
        <v>0.86</v>
      </c>
      <c r="AG25" s="33">
        <v>42.4</v>
      </c>
      <c r="AH25" s="33">
        <v>4.5999999999999996</v>
      </c>
      <c r="AI25" s="33">
        <v>10.199999999999999</v>
      </c>
      <c r="AJ25" s="191" t="s">
        <v>131</v>
      </c>
      <c r="AK25" s="56">
        <v>0.86</v>
      </c>
      <c r="AL25" s="53">
        <v>10.5</v>
      </c>
      <c r="AM25" s="53">
        <v>0.8</v>
      </c>
      <c r="AN25" s="53">
        <v>11.3</v>
      </c>
      <c r="AP25" s="127">
        <v>120</v>
      </c>
      <c r="AQ25" s="57">
        <f>D25*AP25</f>
        <v>0</v>
      </c>
      <c r="AS25" s="39" t="b">
        <f t="shared" si="8"/>
        <v>0</v>
      </c>
    </row>
    <row r="26" spans="2:45" s="5" customFormat="1" ht="14.25" customHeight="1" x14ac:dyDescent="0.25">
      <c r="B26" s="158" t="s">
        <v>435</v>
      </c>
      <c r="C26" s="34"/>
      <c r="D26" s="10"/>
      <c r="E26" s="10"/>
      <c r="F26" s="45">
        <f t="shared" si="0"/>
        <v>0</v>
      </c>
      <c r="G26" s="27"/>
      <c r="H26" s="9"/>
      <c r="I26" s="46">
        <f t="shared" si="9"/>
        <v>0</v>
      </c>
      <c r="J26" s="47" t="s">
        <v>169</v>
      </c>
      <c r="K26" s="48">
        <v>1</v>
      </c>
      <c r="L26" s="9"/>
      <c r="M26" s="47" t="s">
        <v>272</v>
      </c>
      <c r="N26" s="48" t="str">
        <f t="shared" si="10"/>
        <v/>
      </c>
      <c r="O26" s="49">
        <f t="shared" si="11"/>
        <v>0</v>
      </c>
      <c r="P26" s="50" t="str">
        <f t="shared" si="16"/>
        <v/>
      </c>
      <c r="Q26" s="165">
        <f t="shared" si="12"/>
        <v>0</v>
      </c>
      <c r="R26" s="165">
        <f t="shared" si="13"/>
        <v>0</v>
      </c>
      <c r="S26" s="165">
        <f t="shared" si="14"/>
        <v>0</v>
      </c>
      <c r="U26" s="163">
        <f t="shared" si="2"/>
        <v>0</v>
      </c>
      <c r="V26" s="163">
        <f t="shared" si="3"/>
        <v>0</v>
      </c>
      <c r="W26" s="163">
        <f t="shared" si="4"/>
        <v>0</v>
      </c>
      <c r="X26" s="163">
        <f t="shared" si="5"/>
        <v>0</v>
      </c>
      <c r="Y26" s="163">
        <f t="shared" si="6"/>
        <v>0</v>
      </c>
      <c r="Z26" s="163">
        <f t="shared" si="7"/>
        <v>0</v>
      </c>
      <c r="AA26" s="163">
        <f t="shared" si="15"/>
        <v>0</v>
      </c>
      <c r="AB26" s="163">
        <f t="shared" si="15"/>
        <v>0</v>
      </c>
      <c r="AC26" s="163">
        <f t="shared" si="15"/>
        <v>0</v>
      </c>
      <c r="AE26" s="51" t="s">
        <v>137</v>
      </c>
      <c r="AF26" s="55">
        <v>0.86</v>
      </c>
      <c r="AG26" s="33">
        <v>40</v>
      </c>
      <c r="AH26" s="33">
        <v>4</v>
      </c>
      <c r="AI26" s="33">
        <v>10</v>
      </c>
      <c r="AJ26" s="191" t="s">
        <v>131</v>
      </c>
      <c r="AK26" s="56">
        <v>0.86</v>
      </c>
      <c r="AL26" s="53">
        <v>10</v>
      </c>
      <c r="AM26" s="53">
        <v>1</v>
      </c>
      <c r="AN26" s="53">
        <v>11</v>
      </c>
      <c r="AP26" s="127">
        <v>80</v>
      </c>
      <c r="AQ26" s="57">
        <f>D26*AP26</f>
        <v>0</v>
      </c>
      <c r="AS26" s="39" t="b">
        <f t="shared" si="8"/>
        <v>0</v>
      </c>
    </row>
    <row r="27" spans="2:45" s="5" customFormat="1" ht="14.25" customHeight="1" x14ac:dyDescent="0.25">
      <c r="B27" s="689" t="s">
        <v>184</v>
      </c>
      <c r="C27" s="31" t="s">
        <v>182</v>
      </c>
      <c r="D27" s="10"/>
      <c r="E27" s="10"/>
      <c r="F27" s="45">
        <f t="shared" si="0"/>
        <v>0</v>
      </c>
      <c r="G27" s="27"/>
      <c r="H27" s="58"/>
      <c r="I27" s="59"/>
      <c r="J27" s="60"/>
      <c r="K27" s="61"/>
      <c r="L27" s="58"/>
      <c r="M27" s="60"/>
      <c r="N27" s="61"/>
      <c r="O27" s="62"/>
      <c r="P27" s="63" t="str">
        <f>IF(O27&lt;0,"!","")</f>
        <v/>
      </c>
      <c r="Q27" s="165">
        <f t="shared" si="12"/>
        <v>0</v>
      </c>
      <c r="R27" s="165">
        <f t="shared" si="13"/>
        <v>0</v>
      </c>
      <c r="S27" s="165">
        <f t="shared" si="14"/>
        <v>0</v>
      </c>
      <c r="U27" s="163">
        <f t="shared" si="2"/>
        <v>0</v>
      </c>
      <c r="V27" s="163">
        <f t="shared" si="3"/>
        <v>0</v>
      </c>
      <c r="W27" s="163">
        <f t="shared" si="4"/>
        <v>0</v>
      </c>
      <c r="X27" s="163">
        <f t="shared" si="5"/>
        <v>0</v>
      </c>
      <c r="Y27" s="163">
        <f t="shared" si="6"/>
        <v>0</v>
      </c>
      <c r="Z27" s="163">
        <f t="shared" si="7"/>
        <v>0</v>
      </c>
      <c r="AA27" s="163">
        <f t="shared" si="15"/>
        <v>0</v>
      </c>
      <c r="AB27" s="163">
        <f t="shared" si="15"/>
        <v>0</v>
      </c>
      <c r="AC27" s="163">
        <f t="shared" si="15"/>
        <v>0</v>
      </c>
      <c r="AE27" s="51" t="s">
        <v>138</v>
      </c>
      <c r="AF27" s="55">
        <v>0.18</v>
      </c>
      <c r="AG27" s="33">
        <v>3</v>
      </c>
      <c r="AH27" s="33">
        <v>0.5</v>
      </c>
      <c r="AI27" s="33">
        <v>4.4000000000000004</v>
      </c>
      <c r="AJ27" s="191" t="s">
        <v>132</v>
      </c>
      <c r="AK27" s="56">
        <v>0.12</v>
      </c>
      <c r="AL27" s="53">
        <v>2.2999999999999998</v>
      </c>
      <c r="AM27" s="53">
        <v>0.2</v>
      </c>
      <c r="AN27" s="53">
        <v>2.8</v>
      </c>
      <c r="AP27" s="54"/>
      <c r="AQ27" s="54"/>
      <c r="AS27" s="39" t="b">
        <f t="shared" si="8"/>
        <v>0</v>
      </c>
    </row>
    <row r="28" spans="2:45" s="5" customFormat="1" ht="14.25" customHeight="1" x14ac:dyDescent="0.25">
      <c r="B28" s="690"/>
      <c r="C28" s="31" t="s">
        <v>101</v>
      </c>
      <c r="D28" s="10"/>
      <c r="E28" s="10"/>
      <c r="F28" s="45">
        <f t="shared" si="0"/>
        <v>0</v>
      </c>
      <c r="G28" s="27"/>
      <c r="H28" s="58"/>
      <c r="I28" s="59"/>
      <c r="J28" s="60"/>
      <c r="K28" s="61"/>
      <c r="L28" s="58"/>
      <c r="M28" s="60"/>
      <c r="N28" s="61"/>
      <c r="O28" s="62"/>
      <c r="P28" s="63" t="str">
        <f>IF(O28&lt;0,"!","")</f>
        <v/>
      </c>
      <c r="Q28" s="165">
        <f t="shared" si="12"/>
        <v>0</v>
      </c>
      <c r="R28" s="165">
        <f t="shared" si="13"/>
        <v>0</v>
      </c>
      <c r="S28" s="165">
        <f t="shared" si="14"/>
        <v>0</v>
      </c>
      <c r="U28" s="163">
        <f t="shared" si="2"/>
        <v>0</v>
      </c>
      <c r="V28" s="163">
        <f t="shared" si="3"/>
        <v>0</v>
      </c>
      <c r="W28" s="163">
        <f t="shared" si="4"/>
        <v>0</v>
      </c>
      <c r="X28" s="163">
        <f t="shared" si="5"/>
        <v>0</v>
      </c>
      <c r="Y28" s="163">
        <f t="shared" si="6"/>
        <v>0</v>
      </c>
      <c r="Z28" s="163">
        <f t="shared" si="7"/>
        <v>0</v>
      </c>
      <c r="AA28" s="163">
        <f t="shared" si="15"/>
        <v>0</v>
      </c>
      <c r="AB28" s="163">
        <f t="shared" si="15"/>
        <v>0</v>
      </c>
      <c r="AC28" s="163">
        <f t="shared" si="15"/>
        <v>0</v>
      </c>
      <c r="AE28" s="51" t="s">
        <v>138</v>
      </c>
      <c r="AF28" s="55">
        <v>0.22</v>
      </c>
      <c r="AG28" s="33">
        <v>3.5</v>
      </c>
      <c r="AH28" s="33">
        <v>0.5</v>
      </c>
      <c r="AI28" s="33">
        <v>4.5</v>
      </c>
      <c r="AJ28" s="191" t="s">
        <v>132</v>
      </c>
      <c r="AK28" s="56">
        <v>0.15</v>
      </c>
      <c r="AL28" s="53">
        <v>2.8</v>
      </c>
      <c r="AM28" s="53">
        <v>0.2</v>
      </c>
      <c r="AN28" s="53">
        <v>4</v>
      </c>
      <c r="AP28" s="54"/>
      <c r="AQ28" s="54"/>
      <c r="AS28" s="39" t="b">
        <f t="shared" si="8"/>
        <v>0</v>
      </c>
    </row>
    <row r="29" spans="2:45" s="5" customFormat="1" ht="14.25" customHeight="1" x14ac:dyDescent="0.25">
      <c r="B29" s="158" t="s">
        <v>223</v>
      </c>
      <c r="C29" s="34"/>
      <c r="D29" s="10"/>
      <c r="E29" s="10"/>
      <c r="F29" s="45">
        <f t="shared" si="0"/>
        <v>0</v>
      </c>
      <c r="G29" s="27"/>
      <c r="H29" s="9"/>
      <c r="I29" s="46">
        <f t="shared" ref="I29:I40" si="17">IF(L29=0,IF(F29=0,G29*K29*H29,F29*K29*H29),0)</f>
        <v>0</v>
      </c>
      <c r="J29" s="47" t="s">
        <v>169</v>
      </c>
      <c r="K29" s="48">
        <v>0.4</v>
      </c>
      <c r="L29" s="9"/>
      <c r="M29" s="47" t="s">
        <v>272</v>
      </c>
      <c r="N29" s="48" t="str">
        <f>IF(H29=0,"",IF(F29+G29=0,"",IF(L29=0,0,IF(G29=0,(L29/H29)/F29,(L29/H29)/G29))))</f>
        <v/>
      </c>
      <c r="O29" s="49">
        <f t="shared" ref="O29:O40" si="18">D29-H29</f>
        <v>0</v>
      </c>
      <c r="P29" s="50" t="str">
        <f t="shared" ref="P29:P40" si="19">IF(O29&lt;0,"!",IF(AS29=TRUE,"!",""))</f>
        <v/>
      </c>
      <c r="Q29" s="165">
        <f t="shared" si="12"/>
        <v>0</v>
      </c>
      <c r="R29" s="165">
        <f t="shared" si="13"/>
        <v>0</v>
      </c>
      <c r="S29" s="165">
        <f t="shared" si="14"/>
        <v>0</v>
      </c>
      <c r="U29" s="163">
        <f t="shared" si="2"/>
        <v>0</v>
      </c>
      <c r="V29" s="163">
        <f t="shared" si="3"/>
        <v>0</v>
      </c>
      <c r="W29" s="163">
        <f t="shared" si="4"/>
        <v>0</v>
      </c>
      <c r="X29" s="163">
        <f t="shared" si="5"/>
        <v>0</v>
      </c>
      <c r="Y29" s="163">
        <f t="shared" si="6"/>
        <v>0</v>
      </c>
      <c r="Z29" s="163">
        <f t="shared" si="7"/>
        <v>0</v>
      </c>
      <c r="AA29" s="163">
        <f t="shared" si="15"/>
        <v>0</v>
      </c>
      <c r="AB29" s="163">
        <f t="shared" si="15"/>
        <v>0</v>
      </c>
      <c r="AC29" s="163">
        <f t="shared" si="15"/>
        <v>0</v>
      </c>
      <c r="AE29" s="51" t="s">
        <v>139</v>
      </c>
      <c r="AF29" s="55">
        <v>0.23</v>
      </c>
      <c r="AG29" s="33">
        <v>1.8</v>
      </c>
      <c r="AH29" s="33">
        <v>0.3</v>
      </c>
      <c r="AI29" s="33">
        <v>2</v>
      </c>
      <c r="AJ29" s="191" t="s">
        <v>8</v>
      </c>
      <c r="AK29" s="56">
        <v>0.15</v>
      </c>
      <c r="AL29" s="53">
        <v>4</v>
      </c>
      <c r="AM29" s="53">
        <v>0.4</v>
      </c>
      <c r="AN29" s="53">
        <v>4.5</v>
      </c>
      <c r="AP29" s="54"/>
      <c r="AQ29" s="54"/>
      <c r="AS29" s="39" t="b">
        <f t="shared" si="8"/>
        <v>0</v>
      </c>
    </row>
    <row r="30" spans="2:45" s="5" customFormat="1" ht="14.25" customHeight="1" x14ac:dyDescent="0.25">
      <c r="B30" s="158" t="s">
        <v>224</v>
      </c>
      <c r="C30" s="34"/>
      <c r="D30" s="10"/>
      <c r="E30" s="10"/>
      <c r="F30" s="45">
        <f t="shared" si="0"/>
        <v>0</v>
      </c>
      <c r="G30" s="27"/>
      <c r="H30" s="9"/>
      <c r="I30" s="46">
        <f t="shared" si="17"/>
        <v>0</v>
      </c>
      <c r="J30" s="47" t="s">
        <v>169</v>
      </c>
      <c r="K30" s="48">
        <v>0.4</v>
      </c>
      <c r="L30" s="9"/>
      <c r="M30" s="47" t="s">
        <v>272</v>
      </c>
      <c r="N30" s="48" t="str">
        <f t="shared" ref="N30:N40" si="20">IF(H30=0,"",IF(F30+G30=0,"",IF(L30=0,0,IF(G30=0,(L30/H30)/F30,(L30/H30)/G30))))</f>
        <v/>
      </c>
      <c r="O30" s="49">
        <f t="shared" si="18"/>
        <v>0</v>
      </c>
      <c r="P30" s="50" t="str">
        <f t="shared" si="19"/>
        <v/>
      </c>
      <c r="Q30" s="165">
        <f t="shared" si="12"/>
        <v>0</v>
      </c>
      <c r="R30" s="165">
        <f t="shared" si="13"/>
        <v>0</v>
      </c>
      <c r="S30" s="165">
        <f t="shared" si="14"/>
        <v>0</v>
      </c>
      <c r="U30" s="163">
        <f t="shared" si="2"/>
        <v>0</v>
      </c>
      <c r="V30" s="163">
        <f t="shared" si="3"/>
        <v>0</v>
      </c>
      <c r="W30" s="163">
        <f t="shared" si="4"/>
        <v>0</v>
      </c>
      <c r="X30" s="163">
        <f t="shared" si="5"/>
        <v>0</v>
      </c>
      <c r="Y30" s="163">
        <f t="shared" si="6"/>
        <v>0</v>
      </c>
      <c r="Z30" s="163">
        <f t="shared" si="7"/>
        <v>0</v>
      </c>
      <c r="AA30" s="163">
        <f t="shared" si="15"/>
        <v>0</v>
      </c>
      <c r="AB30" s="163">
        <f t="shared" si="15"/>
        <v>0</v>
      </c>
      <c r="AC30" s="163">
        <f t="shared" si="15"/>
        <v>0</v>
      </c>
      <c r="AE30" s="51" t="s">
        <v>139</v>
      </c>
      <c r="AF30" s="55">
        <v>0.17</v>
      </c>
      <c r="AG30" s="33">
        <v>1.4</v>
      </c>
      <c r="AH30" s="33">
        <v>0.3</v>
      </c>
      <c r="AI30" s="33">
        <v>1.3</v>
      </c>
      <c r="AJ30" s="191" t="s">
        <v>8</v>
      </c>
      <c r="AK30" s="56">
        <v>0.15</v>
      </c>
      <c r="AL30" s="53">
        <v>2.8</v>
      </c>
      <c r="AM30" s="53">
        <v>0.4</v>
      </c>
      <c r="AN30" s="53">
        <v>4</v>
      </c>
      <c r="AP30" s="54"/>
      <c r="AQ30" s="54"/>
      <c r="AS30" s="39" t="b">
        <f t="shared" si="8"/>
        <v>0</v>
      </c>
    </row>
    <row r="31" spans="2:45" s="5" customFormat="1" ht="14.25" customHeight="1" x14ac:dyDescent="0.25">
      <c r="B31" s="158" t="s">
        <v>436</v>
      </c>
      <c r="C31" s="34"/>
      <c r="D31" s="10"/>
      <c r="E31" s="10"/>
      <c r="F31" s="45">
        <f t="shared" si="0"/>
        <v>0</v>
      </c>
      <c r="G31" s="27"/>
      <c r="H31" s="9"/>
      <c r="I31" s="46">
        <f t="shared" si="17"/>
        <v>0</v>
      </c>
      <c r="J31" s="47" t="s">
        <v>169</v>
      </c>
      <c r="K31" s="48">
        <v>0.3</v>
      </c>
      <c r="L31" s="9"/>
      <c r="M31" s="47" t="s">
        <v>272</v>
      </c>
      <c r="N31" s="48" t="str">
        <f t="shared" si="20"/>
        <v/>
      </c>
      <c r="O31" s="49">
        <f t="shared" si="18"/>
        <v>0</v>
      </c>
      <c r="P31" s="50" t="str">
        <f t="shared" si="19"/>
        <v/>
      </c>
      <c r="Q31" s="165">
        <f t="shared" si="12"/>
        <v>0</v>
      </c>
      <c r="R31" s="165">
        <f t="shared" si="13"/>
        <v>0</v>
      </c>
      <c r="S31" s="165">
        <f t="shared" si="14"/>
        <v>0</v>
      </c>
      <c r="U31" s="163">
        <f t="shared" si="2"/>
        <v>0</v>
      </c>
      <c r="V31" s="163">
        <f t="shared" si="3"/>
        <v>0</v>
      </c>
      <c r="W31" s="163">
        <f t="shared" si="4"/>
        <v>0</v>
      </c>
      <c r="X31" s="163">
        <f t="shared" si="5"/>
        <v>0</v>
      </c>
      <c r="Y31" s="163">
        <f t="shared" si="6"/>
        <v>0</v>
      </c>
      <c r="Z31" s="163">
        <f t="shared" si="7"/>
        <v>0</v>
      </c>
      <c r="AA31" s="163">
        <f t="shared" si="15"/>
        <v>0</v>
      </c>
      <c r="AB31" s="163">
        <f t="shared" si="15"/>
        <v>0</v>
      </c>
      <c r="AC31" s="163">
        <f t="shared" si="15"/>
        <v>0</v>
      </c>
      <c r="AE31" s="51" t="s">
        <v>140</v>
      </c>
      <c r="AF31" s="55">
        <v>0.22</v>
      </c>
      <c r="AG31" s="33">
        <v>2.5</v>
      </c>
      <c r="AH31" s="33">
        <v>0.4</v>
      </c>
      <c r="AI31" s="33">
        <v>3.5</v>
      </c>
      <c r="AJ31" s="191" t="s">
        <v>133</v>
      </c>
      <c r="AK31" s="56">
        <v>0.15</v>
      </c>
      <c r="AL31" s="53">
        <v>3</v>
      </c>
      <c r="AM31" s="53">
        <v>0.4</v>
      </c>
      <c r="AN31" s="53">
        <v>4</v>
      </c>
      <c r="AP31" s="54"/>
      <c r="AQ31" s="54"/>
      <c r="AS31" s="39" t="b">
        <f t="shared" si="8"/>
        <v>0</v>
      </c>
    </row>
    <row r="32" spans="2:45" s="5" customFormat="1" ht="14.25" customHeight="1" x14ac:dyDescent="0.25">
      <c r="B32" s="158" t="s">
        <v>437</v>
      </c>
      <c r="C32" s="34"/>
      <c r="D32" s="10"/>
      <c r="E32" s="10"/>
      <c r="F32" s="45">
        <f t="shared" si="0"/>
        <v>0</v>
      </c>
      <c r="G32" s="27"/>
      <c r="H32" s="9"/>
      <c r="I32" s="46">
        <f t="shared" si="17"/>
        <v>0</v>
      </c>
      <c r="J32" s="47" t="s">
        <v>169</v>
      </c>
      <c r="K32" s="48">
        <v>2.2000000000000002</v>
      </c>
      <c r="L32" s="9"/>
      <c r="M32" s="47" t="s">
        <v>272</v>
      </c>
      <c r="N32" s="48" t="str">
        <f t="shared" si="20"/>
        <v/>
      </c>
      <c r="O32" s="49">
        <f t="shared" si="18"/>
        <v>0</v>
      </c>
      <c r="P32" s="50" t="str">
        <f t="shared" si="19"/>
        <v/>
      </c>
      <c r="Q32" s="165">
        <f t="shared" si="12"/>
        <v>0</v>
      </c>
      <c r="R32" s="165">
        <f t="shared" si="13"/>
        <v>0</v>
      </c>
      <c r="S32" s="165">
        <f t="shared" si="14"/>
        <v>0</v>
      </c>
      <c r="U32" s="163">
        <f t="shared" si="2"/>
        <v>0</v>
      </c>
      <c r="V32" s="163">
        <f t="shared" si="3"/>
        <v>0</v>
      </c>
      <c r="W32" s="163">
        <f t="shared" si="4"/>
        <v>0</v>
      </c>
      <c r="X32" s="163">
        <f t="shared" si="5"/>
        <v>0</v>
      </c>
      <c r="Y32" s="163">
        <f t="shared" si="6"/>
        <v>0</v>
      </c>
      <c r="Z32" s="163">
        <f t="shared" si="7"/>
        <v>0</v>
      </c>
      <c r="AA32" s="163">
        <f t="shared" si="15"/>
        <v>0</v>
      </c>
      <c r="AB32" s="163">
        <f t="shared" si="15"/>
        <v>0</v>
      </c>
      <c r="AC32" s="163">
        <f t="shared" si="15"/>
        <v>0</v>
      </c>
      <c r="AE32" s="51" t="s">
        <v>141</v>
      </c>
      <c r="AF32" s="55">
        <v>0.92</v>
      </c>
      <c r="AG32" s="33">
        <v>34.200000000000003</v>
      </c>
      <c r="AH32" s="33">
        <v>7.2</v>
      </c>
      <c r="AI32" s="33">
        <v>7.9</v>
      </c>
      <c r="AJ32" s="191" t="s">
        <v>131</v>
      </c>
      <c r="AK32" s="56">
        <v>0.86</v>
      </c>
      <c r="AL32" s="53">
        <v>6.9</v>
      </c>
      <c r="AM32" s="53">
        <v>1.3</v>
      </c>
      <c r="AN32" s="53">
        <v>11.6</v>
      </c>
      <c r="AP32" s="54"/>
      <c r="AQ32" s="54"/>
      <c r="AS32" s="39" t="b">
        <f t="shared" si="8"/>
        <v>0</v>
      </c>
    </row>
    <row r="33" spans="2:45" s="5" customFormat="1" ht="14.25" customHeight="1" x14ac:dyDescent="0.25">
      <c r="B33" s="158" t="s">
        <v>89</v>
      </c>
      <c r="C33" s="34"/>
      <c r="D33" s="10"/>
      <c r="E33" s="10"/>
      <c r="F33" s="45">
        <f t="shared" si="0"/>
        <v>0</v>
      </c>
      <c r="G33" s="27"/>
      <c r="H33" s="9"/>
      <c r="I33" s="46">
        <f t="shared" si="17"/>
        <v>0</v>
      </c>
      <c r="J33" s="47" t="s">
        <v>169</v>
      </c>
      <c r="K33" s="48">
        <v>1.8</v>
      </c>
      <c r="L33" s="9"/>
      <c r="M33" s="47" t="s">
        <v>272</v>
      </c>
      <c r="N33" s="48" t="str">
        <f t="shared" si="20"/>
        <v/>
      </c>
      <c r="O33" s="49">
        <f t="shared" si="18"/>
        <v>0</v>
      </c>
      <c r="P33" s="50" t="str">
        <f t="shared" si="19"/>
        <v/>
      </c>
      <c r="Q33" s="165">
        <f t="shared" si="12"/>
        <v>0</v>
      </c>
      <c r="R33" s="165">
        <f t="shared" si="13"/>
        <v>0</v>
      </c>
      <c r="S33" s="165">
        <f t="shared" si="14"/>
        <v>0</v>
      </c>
      <c r="U33" s="163">
        <f t="shared" si="2"/>
        <v>0</v>
      </c>
      <c r="V33" s="163">
        <f t="shared" si="3"/>
        <v>0</v>
      </c>
      <c r="W33" s="163">
        <f t="shared" si="4"/>
        <v>0</v>
      </c>
      <c r="X33" s="163">
        <f t="shared" si="5"/>
        <v>0</v>
      </c>
      <c r="Y33" s="163">
        <f t="shared" si="6"/>
        <v>0</v>
      </c>
      <c r="Z33" s="163">
        <f t="shared" si="7"/>
        <v>0</v>
      </c>
      <c r="AA33" s="163">
        <f t="shared" si="15"/>
        <v>0</v>
      </c>
      <c r="AB33" s="163">
        <f t="shared" si="15"/>
        <v>0</v>
      </c>
      <c r="AC33" s="163">
        <f t="shared" si="15"/>
        <v>0</v>
      </c>
      <c r="AE33" s="51" t="s">
        <v>141</v>
      </c>
      <c r="AF33" s="55">
        <v>0.92</v>
      </c>
      <c r="AG33" s="33">
        <v>28</v>
      </c>
      <c r="AH33" s="33">
        <v>7</v>
      </c>
      <c r="AI33" s="33">
        <v>19.899999999999999</v>
      </c>
      <c r="AJ33" s="191" t="s">
        <v>131</v>
      </c>
      <c r="AK33" s="56">
        <v>0.86</v>
      </c>
      <c r="AL33" s="53">
        <v>9.5</v>
      </c>
      <c r="AM33" s="53">
        <v>2.1</v>
      </c>
      <c r="AN33" s="53">
        <v>39.6</v>
      </c>
      <c r="AP33" s="54"/>
      <c r="AQ33" s="54"/>
      <c r="AS33" s="39" t="b">
        <f t="shared" si="8"/>
        <v>0</v>
      </c>
    </row>
    <row r="34" spans="2:45" s="5" customFormat="1" ht="14.25" customHeight="1" x14ac:dyDescent="0.25">
      <c r="B34" s="158" t="s">
        <v>84</v>
      </c>
      <c r="C34" s="34"/>
      <c r="D34" s="10"/>
      <c r="E34" s="10"/>
      <c r="F34" s="45">
        <f t="shared" si="0"/>
        <v>0</v>
      </c>
      <c r="G34" s="27"/>
      <c r="H34" s="9"/>
      <c r="I34" s="46">
        <f t="shared" si="17"/>
        <v>0</v>
      </c>
      <c r="J34" s="47" t="s">
        <v>169</v>
      </c>
      <c r="K34" s="48">
        <v>1</v>
      </c>
      <c r="L34" s="9"/>
      <c r="M34" s="47" t="s">
        <v>272</v>
      </c>
      <c r="N34" s="48" t="str">
        <f t="shared" si="20"/>
        <v/>
      </c>
      <c r="O34" s="49">
        <f t="shared" si="18"/>
        <v>0</v>
      </c>
      <c r="P34" s="50" t="str">
        <f t="shared" si="19"/>
        <v/>
      </c>
      <c r="Q34" s="165">
        <f t="shared" si="12"/>
        <v>0</v>
      </c>
      <c r="R34" s="165">
        <f t="shared" si="13"/>
        <v>0</v>
      </c>
      <c r="S34" s="165">
        <f t="shared" si="14"/>
        <v>0</v>
      </c>
      <c r="U34" s="163">
        <f t="shared" si="2"/>
        <v>0</v>
      </c>
      <c r="V34" s="163">
        <f t="shared" si="3"/>
        <v>0</v>
      </c>
      <c r="W34" s="163">
        <f t="shared" si="4"/>
        <v>0</v>
      </c>
      <c r="X34" s="163">
        <f t="shared" si="5"/>
        <v>0</v>
      </c>
      <c r="Y34" s="163">
        <f t="shared" si="6"/>
        <v>0</v>
      </c>
      <c r="Z34" s="163">
        <f t="shared" si="7"/>
        <v>0</v>
      </c>
      <c r="AA34" s="163">
        <f t="shared" si="15"/>
        <v>0</v>
      </c>
      <c r="AB34" s="163">
        <f t="shared" si="15"/>
        <v>0</v>
      </c>
      <c r="AC34" s="163">
        <f t="shared" si="15"/>
        <v>0</v>
      </c>
      <c r="AE34" s="51" t="s">
        <v>141</v>
      </c>
      <c r="AF34" s="55">
        <v>0.86</v>
      </c>
      <c r="AG34" s="33">
        <v>54.6</v>
      </c>
      <c r="AH34" s="33">
        <v>7.3</v>
      </c>
      <c r="AI34" s="33">
        <v>18.899999999999999</v>
      </c>
      <c r="AJ34" s="191" t="s">
        <v>131</v>
      </c>
      <c r="AK34" s="56">
        <v>0.86</v>
      </c>
      <c r="AL34" s="53">
        <v>10.1</v>
      </c>
      <c r="AM34" s="53">
        <v>1.3</v>
      </c>
      <c r="AN34" s="53">
        <v>9.6</v>
      </c>
      <c r="AP34" s="127">
        <v>120</v>
      </c>
      <c r="AQ34" s="57">
        <f>D34*AP34</f>
        <v>0</v>
      </c>
      <c r="AS34" s="39" t="b">
        <f t="shared" si="8"/>
        <v>0</v>
      </c>
    </row>
    <row r="35" spans="2:45" s="5" customFormat="1" ht="14.25" customHeight="1" x14ac:dyDescent="0.25">
      <c r="B35" s="158" t="s">
        <v>85</v>
      </c>
      <c r="C35" s="34"/>
      <c r="D35" s="10"/>
      <c r="E35" s="10"/>
      <c r="F35" s="45">
        <f t="shared" si="0"/>
        <v>0</v>
      </c>
      <c r="G35" s="27"/>
      <c r="H35" s="9"/>
      <c r="I35" s="46">
        <f t="shared" si="17"/>
        <v>0</v>
      </c>
      <c r="J35" s="47" t="s">
        <v>169</v>
      </c>
      <c r="K35" s="48">
        <v>2.8</v>
      </c>
      <c r="L35" s="9"/>
      <c r="M35" s="47" t="s">
        <v>272</v>
      </c>
      <c r="N35" s="48" t="str">
        <f t="shared" si="20"/>
        <v/>
      </c>
      <c r="O35" s="49">
        <f t="shared" si="18"/>
        <v>0</v>
      </c>
      <c r="P35" s="50" t="str">
        <f t="shared" si="19"/>
        <v/>
      </c>
      <c r="Q35" s="165">
        <f t="shared" si="12"/>
        <v>0</v>
      </c>
      <c r="R35" s="165">
        <f t="shared" si="13"/>
        <v>0</v>
      </c>
      <c r="S35" s="165">
        <f t="shared" si="14"/>
        <v>0</v>
      </c>
      <c r="U35" s="163">
        <f t="shared" si="2"/>
        <v>0</v>
      </c>
      <c r="V35" s="163">
        <f t="shared" si="3"/>
        <v>0</v>
      </c>
      <c r="W35" s="163">
        <f t="shared" si="4"/>
        <v>0</v>
      </c>
      <c r="X35" s="163">
        <f t="shared" si="5"/>
        <v>0</v>
      </c>
      <c r="Y35" s="163">
        <f t="shared" si="6"/>
        <v>0</v>
      </c>
      <c r="Z35" s="163">
        <f t="shared" si="7"/>
        <v>0</v>
      </c>
      <c r="AA35" s="163">
        <f t="shared" si="15"/>
        <v>0</v>
      </c>
      <c r="AB35" s="163">
        <f t="shared" si="15"/>
        <v>0</v>
      </c>
      <c r="AC35" s="163">
        <f t="shared" si="15"/>
        <v>0</v>
      </c>
      <c r="AE35" s="51" t="s">
        <v>141</v>
      </c>
      <c r="AF35" s="55">
        <v>0.92</v>
      </c>
      <c r="AG35" s="33">
        <v>33.200000000000003</v>
      </c>
      <c r="AH35" s="33">
        <v>7.6</v>
      </c>
      <c r="AI35" s="33">
        <v>8.1999999999999993</v>
      </c>
      <c r="AJ35" s="191" t="s">
        <v>131</v>
      </c>
      <c r="AK35" s="56">
        <v>0.86</v>
      </c>
      <c r="AL35" s="53">
        <v>8.6</v>
      </c>
      <c r="AM35" s="53">
        <v>0.9</v>
      </c>
      <c r="AN35" s="53">
        <v>19.100000000000001</v>
      </c>
      <c r="AP35" s="54"/>
      <c r="AQ35" s="54"/>
      <c r="AS35" s="39" t="b">
        <f t="shared" si="8"/>
        <v>0</v>
      </c>
    </row>
    <row r="36" spans="2:45" s="5" customFormat="1" ht="14.25" customHeight="1" x14ac:dyDescent="0.25">
      <c r="B36" s="158" t="s">
        <v>90</v>
      </c>
      <c r="C36" s="34"/>
      <c r="D36" s="10"/>
      <c r="E36" s="10"/>
      <c r="F36" s="45">
        <f t="shared" si="0"/>
        <v>0</v>
      </c>
      <c r="G36" s="27"/>
      <c r="H36" s="9"/>
      <c r="I36" s="46">
        <f t="shared" si="17"/>
        <v>0</v>
      </c>
      <c r="J36" s="47" t="s">
        <v>169</v>
      </c>
      <c r="K36" s="48">
        <v>1.5</v>
      </c>
      <c r="L36" s="9"/>
      <c r="M36" s="47" t="s">
        <v>272</v>
      </c>
      <c r="N36" s="48" t="str">
        <f t="shared" si="20"/>
        <v/>
      </c>
      <c r="O36" s="49">
        <f t="shared" si="18"/>
        <v>0</v>
      </c>
      <c r="P36" s="50" t="str">
        <f t="shared" si="19"/>
        <v/>
      </c>
      <c r="Q36" s="165">
        <f t="shared" si="12"/>
        <v>0</v>
      </c>
      <c r="R36" s="165">
        <f t="shared" si="13"/>
        <v>0</v>
      </c>
      <c r="S36" s="165">
        <f t="shared" si="14"/>
        <v>0</v>
      </c>
      <c r="U36" s="163">
        <f t="shared" si="2"/>
        <v>0</v>
      </c>
      <c r="V36" s="163">
        <f t="shared" si="3"/>
        <v>0</v>
      </c>
      <c r="W36" s="163">
        <f t="shared" si="4"/>
        <v>0</v>
      </c>
      <c r="X36" s="163">
        <f t="shared" si="5"/>
        <v>0</v>
      </c>
      <c r="Y36" s="163">
        <f t="shared" si="6"/>
        <v>0</v>
      </c>
      <c r="Z36" s="163">
        <f t="shared" si="7"/>
        <v>0</v>
      </c>
      <c r="AA36" s="163">
        <f t="shared" si="15"/>
        <v>0</v>
      </c>
      <c r="AB36" s="163">
        <f t="shared" si="15"/>
        <v>0</v>
      </c>
      <c r="AC36" s="163">
        <f t="shared" si="15"/>
        <v>0</v>
      </c>
      <c r="AE36" s="51" t="s">
        <v>141</v>
      </c>
      <c r="AF36" s="55">
        <v>0.92</v>
      </c>
      <c r="AG36" s="33">
        <v>50</v>
      </c>
      <c r="AH36" s="33">
        <v>7.7</v>
      </c>
      <c r="AI36" s="33">
        <v>7.7</v>
      </c>
      <c r="AJ36" s="191" t="s">
        <v>131</v>
      </c>
      <c r="AK36" s="56">
        <v>0.86</v>
      </c>
      <c r="AL36" s="53">
        <v>7.1</v>
      </c>
      <c r="AM36" s="53">
        <v>1.7</v>
      </c>
      <c r="AN36" s="53">
        <v>21.1</v>
      </c>
      <c r="AP36" s="54"/>
      <c r="AQ36" s="54"/>
      <c r="AS36" s="39" t="b">
        <f t="shared" si="8"/>
        <v>0</v>
      </c>
    </row>
    <row r="37" spans="2:45" s="5" customFormat="1" ht="14.25" customHeight="1" x14ac:dyDescent="0.25">
      <c r="B37" s="158" t="s">
        <v>91</v>
      </c>
      <c r="C37" s="34"/>
      <c r="D37" s="10"/>
      <c r="E37" s="10"/>
      <c r="F37" s="45">
        <f t="shared" si="0"/>
        <v>0</v>
      </c>
      <c r="G37" s="27"/>
      <c r="H37" s="9"/>
      <c r="I37" s="46">
        <f t="shared" si="17"/>
        <v>0</v>
      </c>
      <c r="J37" s="47" t="s">
        <v>169</v>
      </c>
      <c r="K37" s="48">
        <v>1.5</v>
      </c>
      <c r="L37" s="9"/>
      <c r="M37" s="47" t="s">
        <v>272</v>
      </c>
      <c r="N37" s="48" t="str">
        <f t="shared" si="20"/>
        <v/>
      </c>
      <c r="O37" s="49">
        <f t="shared" si="18"/>
        <v>0</v>
      </c>
      <c r="P37" s="50" t="str">
        <f t="shared" si="19"/>
        <v/>
      </c>
      <c r="Q37" s="165">
        <f t="shared" si="12"/>
        <v>0</v>
      </c>
      <c r="R37" s="165">
        <f t="shared" si="13"/>
        <v>0</v>
      </c>
      <c r="S37" s="165">
        <f t="shared" si="14"/>
        <v>0</v>
      </c>
      <c r="U37" s="163">
        <f t="shared" si="2"/>
        <v>0</v>
      </c>
      <c r="V37" s="163">
        <f t="shared" si="3"/>
        <v>0</v>
      </c>
      <c r="W37" s="163">
        <f t="shared" si="4"/>
        <v>0</v>
      </c>
      <c r="X37" s="163">
        <f t="shared" si="5"/>
        <v>0</v>
      </c>
      <c r="Y37" s="163">
        <f t="shared" si="6"/>
        <v>0</v>
      </c>
      <c r="Z37" s="163">
        <f t="shared" si="7"/>
        <v>0</v>
      </c>
      <c r="AA37" s="163">
        <f t="shared" si="15"/>
        <v>0</v>
      </c>
      <c r="AB37" s="163">
        <f t="shared" si="15"/>
        <v>0</v>
      </c>
      <c r="AC37" s="163">
        <f t="shared" si="15"/>
        <v>0</v>
      </c>
      <c r="AE37" s="51" t="s">
        <v>141</v>
      </c>
      <c r="AF37" s="55">
        <v>0.92</v>
      </c>
      <c r="AG37" s="33">
        <v>33.6</v>
      </c>
      <c r="AH37" s="33">
        <v>6.6</v>
      </c>
      <c r="AI37" s="33">
        <v>8.3000000000000007</v>
      </c>
      <c r="AJ37" s="191" t="s">
        <v>134</v>
      </c>
      <c r="AK37" s="56">
        <v>0.86</v>
      </c>
      <c r="AL37" s="53">
        <v>5.3</v>
      </c>
      <c r="AM37" s="53">
        <v>1.4</v>
      </c>
      <c r="AN37" s="53">
        <v>12.1</v>
      </c>
      <c r="AP37" s="54"/>
      <c r="AQ37" s="54"/>
      <c r="AS37" s="39" t="b">
        <f t="shared" si="8"/>
        <v>0</v>
      </c>
    </row>
    <row r="38" spans="2:45" s="5" customFormat="1" ht="14.25" customHeight="1" x14ac:dyDescent="0.25">
      <c r="B38" s="158" t="s">
        <v>86</v>
      </c>
      <c r="C38" s="34"/>
      <c r="D38" s="10"/>
      <c r="E38" s="10"/>
      <c r="F38" s="45">
        <f t="shared" si="0"/>
        <v>0</v>
      </c>
      <c r="G38" s="27"/>
      <c r="H38" s="9"/>
      <c r="I38" s="46">
        <f t="shared" si="17"/>
        <v>0</v>
      </c>
      <c r="J38" s="47" t="s">
        <v>169</v>
      </c>
      <c r="K38" s="48">
        <v>1</v>
      </c>
      <c r="L38" s="9"/>
      <c r="M38" s="47" t="s">
        <v>272</v>
      </c>
      <c r="N38" s="48" t="str">
        <f t="shared" si="20"/>
        <v/>
      </c>
      <c r="O38" s="49">
        <f t="shared" si="18"/>
        <v>0</v>
      </c>
      <c r="P38" s="50" t="str">
        <f t="shared" si="19"/>
        <v/>
      </c>
      <c r="Q38" s="165">
        <f t="shared" si="12"/>
        <v>0</v>
      </c>
      <c r="R38" s="165">
        <f t="shared" si="13"/>
        <v>0</v>
      </c>
      <c r="S38" s="165">
        <f t="shared" si="14"/>
        <v>0</v>
      </c>
      <c r="U38" s="163">
        <f t="shared" si="2"/>
        <v>0</v>
      </c>
      <c r="V38" s="163">
        <f t="shared" si="3"/>
        <v>0</v>
      </c>
      <c r="W38" s="163">
        <f t="shared" si="4"/>
        <v>0</v>
      </c>
      <c r="X38" s="163">
        <f t="shared" si="5"/>
        <v>0</v>
      </c>
      <c r="Y38" s="163">
        <f t="shared" si="6"/>
        <v>0</v>
      </c>
      <c r="Z38" s="163">
        <f t="shared" si="7"/>
        <v>0</v>
      </c>
      <c r="AA38" s="163">
        <f t="shared" si="15"/>
        <v>0</v>
      </c>
      <c r="AB38" s="163">
        <f t="shared" si="15"/>
        <v>0</v>
      </c>
      <c r="AC38" s="163">
        <f t="shared" si="15"/>
        <v>0</v>
      </c>
      <c r="AE38" s="51" t="s">
        <v>141</v>
      </c>
      <c r="AF38" s="55">
        <v>0.92</v>
      </c>
      <c r="AG38" s="33">
        <v>24.9</v>
      </c>
      <c r="AH38" s="33">
        <v>4.5999999999999996</v>
      </c>
      <c r="AI38" s="33">
        <v>5.8</v>
      </c>
      <c r="AJ38" s="191" t="s">
        <v>131</v>
      </c>
      <c r="AK38" s="56">
        <v>0.86</v>
      </c>
      <c r="AL38" s="53">
        <v>9.5</v>
      </c>
      <c r="AM38" s="53">
        <v>1.7</v>
      </c>
      <c r="AN38" s="53">
        <v>14.1</v>
      </c>
      <c r="AP38" s="54"/>
      <c r="AQ38" s="54"/>
      <c r="AS38" s="39" t="b">
        <f t="shared" si="8"/>
        <v>0</v>
      </c>
    </row>
    <row r="39" spans="2:45" s="5" customFormat="1" ht="14.25" customHeight="1" x14ac:dyDescent="0.25">
      <c r="B39" s="158" t="s">
        <v>438</v>
      </c>
      <c r="C39" s="34"/>
      <c r="D39" s="10"/>
      <c r="E39" s="10"/>
      <c r="F39" s="45">
        <f t="shared" si="0"/>
        <v>0</v>
      </c>
      <c r="G39" s="27"/>
      <c r="H39" s="9"/>
      <c r="I39" s="46">
        <f t="shared" si="17"/>
        <v>0</v>
      </c>
      <c r="J39" s="47" t="s">
        <v>169</v>
      </c>
      <c r="K39" s="48">
        <v>1.5</v>
      </c>
      <c r="L39" s="9"/>
      <c r="M39" s="47" t="s">
        <v>272</v>
      </c>
      <c r="N39" s="48" t="str">
        <f t="shared" si="20"/>
        <v/>
      </c>
      <c r="O39" s="49">
        <f t="shared" si="18"/>
        <v>0</v>
      </c>
      <c r="P39" s="50" t="str">
        <f t="shared" si="19"/>
        <v/>
      </c>
      <c r="Q39" s="165">
        <f t="shared" si="12"/>
        <v>0</v>
      </c>
      <c r="R39" s="165">
        <f t="shared" si="13"/>
        <v>0</v>
      </c>
      <c r="S39" s="165">
        <f t="shared" si="14"/>
        <v>0</v>
      </c>
      <c r="U39" s="163">
        <f t="shared" si="2"/>
        <v>0</v>
      </c>
      <c r="V39" s="163">
        <f t="shared" si="3"/>
        <v>0</v>
      </c>
      <c r="W39" s="163">
        <f t="shared" si="4"/>
        <v>0</v>
      </c>
      <c r="X39" s="163">
        <f t="shared" si="5"/>
        <v>0</v>
      </c>
      <c r="Y39" s="163">
        <f t="shared" si="6"/>
        <v>0</v>
      </c>
      <c r="Z39" s="163">
        <f t="shared" si="7"/>
        <v>0</v>
      </c>
      <c r="AA39" s="163">
        <f t="shared" si="15"/>
        <v>0</v>
      </c>
      <c r="AB39" s="163">
        <f t="shared" si="15"/>
        <v>0</v>
      </c>
      <c r="AC39" s="163">
        <f t="shared" si="15"/>
        <v>0</v>
      </c>
      <c r="AE39" s="51" t="s">
        <v>141</v>
      </c>
      <c r="AF39" s="55">
        <v>0.92</v>
      </c>
      <c r="AG39" s="33">
        <v>33</v>
      </c>
      <c r="AH39" s="33">
        <v>7</v>
      </c>
      <c r="AI39" s="33">
        <v>8</v>
      </c>
      <c r="AJ39" s="191" t="s">
        <v>131</v>
      </c>
      <c r="AK39" s="56">
        <v>0.86</v>
      </c>
      <c r="AL39" s="53">
        <v>6</v>
      </c>
      <c r="AM39" s="53">
        <v>1.5</v>
      </c>
      <c r="AN39" s="53">
        <v>17</v>
      </c>
      <c r="AP39" s="54"/>
      <c r="AQ39" s="54"/>
      <c r="AS39" s="39" t="b">
        <f t="shared" si="8"/>
        <v>0</v>
      </c>
    </row>
    <row r="40" spans="2:45" s="5" customFormat="1" ht="14.25" customHeight="1" x14ac:dyDescent="0.25">
      <c r="B40" s="158" t="s">
        <v>142</v>
      </c>
      <c r="C40" s="34"/>
      <c r="D40" s="10"/>
      <c r="E40" s="10"/>
      <c r="F40" s="45">
        <f t="shared" si="0"/>
        <v>0</v>
      </c>
      <c r="G40" s="27"/>
      <c r="H40" s="9"/>
      <c r="I40" s="46">
        <f t="shared" si="17"/>
        <v>0</v>
      </c>
      <c r="J40" s="47" t="s">
        <v>169</v>
      </c>
      <c r="K40" s="48">
        <v>1.5</v>
      </c>
      <c r="L40" s="9"/>
      <c r="M40" s="47" t="s">
        <v>272</v>
      </c>
      <c r="N40" s="48" t="str">
        <f t="shared" si="20"/>
        <v/>
      </c>
      <c r="O40" s="49">
        <f t="shared" si="18"/>
        <v>0</v>
      </c>
      <c r="P40" s="50" t="str">
        <f t="shared" si="19"/>
        <v/>
      </c>
      <c r="Q40" s="165">
        <f t="shared" si="12"/>
        <v>0</v>
      </c>
      <c r="R40" s="165">
        <f t="shared" si="13"/>
        <v>0</v>
      </c>
      <c r="S40" s="165">
        <f t="shared" si="14"/>
        <v>0</v>
      </c>
      <c r="U40" s="163">
        <f t="shared" si="2"/>
        <v>0</v>
      </c>
      <c r="V40" s="163">
        <f t="shared" si="3"/>
        <v>0</v>
      </c>
      <c r="W40" s="163">
        <f t="shared" si="4"/>
        <v>0</v>
      </c>
      <c r="X40" s="163">
        <f t="shared" si="5"/>
        <v>0</v>
      </c>
      <c r="Y40" s="163">
        <f t="shared" si="6"/>
        <v>0</v>
      </c>
      <c r="Z40" s="163">
        <f t="shared" si="7"/>
        <v>0</v>
      </c>
      <c r="AA40" s="163">
        <f t="shared" si="15"/>
        <v>0</v>
      </c>
      <c r="AB40" s="163">
        <f t="shared" si="15"/>
        <v>0</v>
      </c>
      <c r="AC40" s="163">
        <f t="shared" si="15"/>
        <v>0</v>
      </c>
      <c r="AE40" s="51" t="s">
        <v>141</v>
      </c>
      <c r="AF40" s="55">
        <v>0.92</v>
      </c>
      <c r="AG40" s="33">
        <v>33</v>
      </c>
      <c r="AH40" s="33">
        <v>7</v>
      </c>
      <c r="AI40" s="33">
        <v>8</v>
      </c>
      <c r="AJ40" s="191" t="s">
        <v>131</v>
      </c>
      <c r="AK40" s="56">
        <v>0.86</v>
      </c>
      <c r="AL40" s="53">
        <v>6</v>
      </c>
      <c r="AM40" s="53">
        <v>1.5</v>
      </c>
      <c r="AN40" s="53">
        <v>17</v>
      </c>
      <c r="AP40" s="54"/>
      <c r="AQ40" s="54"/>
      <c r="AS40" s="39" t="b">
        <f t="shared" si="8"/>
        <v>0</v>
      </c>
    </row>
    <row r="41" spans="2:45" s="5" customFormat="1" ht="14.25" customHeight="1" x14ac:dyDescent="0.25">
      <c r="B41" s="158" t="s">
        <v>185</v>
      </c>
      <c r="C41" s="35" t="s">
        <v>177</v>
      </c>
      <c r="D41" s="10"/>
      <c r="E41" s="10"/>
      <c r="F41" s="45">
        <f t="shared" si="0"/>
        <v>0</v>
      </c>
      <c r="G41" s="27"/>
      <c r="H41" s="58"/>
      <c r="I41" s="58"/>
      <c r="J41" s="64"/>
      <c r="K41" s="65"/>
      <c r="L41" s="58"/>
      <c r="M41" s="60"/>
      <c r="N41" s="61"/>
      <c r="O41" s="62"/>
      <c r="P41" s="63"/>
      <c r="Q41" s="165">
        <f t="shared" si="12"/>
        <v>0</v>
      </c>
      <c r="R41" s="165">
        <f t="shared" si="13"/>
        <v>0</v>
      </c>
      <c r="S41" s="165">
        <f t="shared" si="14"/>
        <v>0</v>
      </c>
      <c r="U41" s="163">
        <f t="shared" ref="U41:U71" si="21">IF($G41=0,$F41*$D41*AG41,$G41*$D41*AG41)</f>
        <v>0</v>
      </c>
      <c r="V41" s="163">
        <f t="shared" ref="V41:V71" si="22">IF($G41=0,$F41*$D41*AH41,$G41*$D41*AH41)</f>
        <v>0</v>
      </c>
      <c r="W41" s="163">
        <f t="shared" ref="W41:W71" si="23">IF($G41=0,$F41*$D41*AI41,$G41*$D41*AI41)</f>
        <v>0</v>
      </c>
      <c r="X41" s="163">
        <f t="shared" ref="X41:X71" si="24">IF($L41=0,$I41*AL41,$L41*AL41)</f>
        <v>0</v>
      </c>
      <c r="Y41" s="163">
        <f t="shared" ref="Y41:Y71" si="25">IF($L41=0,$I41*AM41,$L41*AM41)</f>
        <v>0</v>
      </c>
      <c r="Z41" s="163">
        <f t="shared" ref="Z41:Z71" si="26">IF($L41=0,$I41*AN41,$L41*AN41)</f>
        <v>0</v>
      </c>
      <c r="AA41" s="163">
        <f t="shared" si="15"/>
        <v>0</v>
      </c>
      <c r="AB41" s="163">
        <f t="shared" si="15"/>
        <v>0</v>
      </c>
      <c r="AC41" s="163">
        <f t="shared" si="15"/>
        <v>0</v>
      </c>
      <c r="AE41" s="51" t="s">
        <v>135</v>
      </c>
      <c r="AF41" s="55">
        <v>0.35</v>
      </c>
      <c r="AG41" s="33">
        <v>4.7</v>
      </c>
      <c r="AH41" s="33">
        <v>0.7</v>
      </c>
      <c r="AI41" s="33">
        <v>4.4000000000000004</v>
      </c>
      <c r="AJ41" s="192"/>
      <c r="AK41" s="66"/>
      <c r="AL41" s="54"/>
      <c r="AM41" s="54"/>
      <c r="AN41" s="54"/>
      <c r="AP41" s="54"/>
      <c r="AQ41" s="54"/>
      <c r="AS41" s="39" t="b">
        <f t="shared" ref="AS41:AS71" si="27">AND(H41=0,L41&gt;0)</f>
        <v>0</v>
      </c>
    </row>
    <row r="42" spans="2:45" s="5" customFormat="1" ht="14.25" customHeight="1" x14ac:dyDescent="0.25">
      <c r="B42" s="158" t="s">
        <v>443</v>
      </c>
      <c r="C42" s="35" t="s">
        <v>177</v>
      </c>
      <c r="D42" s="10"/>
      <c r="E42" s="10"/>
      <c r="F42" s="45">
        <f t="shared" si="0"/>
        <v>0</v>
      </c>
      <c r="G42" s="27"/>
      <c r="H42" s="58"/>
      <c r="I42" s="58"/>
      <c r="J42" s="64"/>
      <c r="K42" s="65"/>
      <c r="L42" s="58"/>
      <c r="M42" s="60"/>
      <c r="N42" s="61"/>
      <c r="O42" s="62"/>
      <c r="P42" s="63"/>
      <c r="Q42" s="165">
        <f t="shared" si="12"/>
        <v>0</v>
      </c>
      <c r="R42" s="165">
        <f t="shared" si="13"/>
        <v>0</v>
      </c>
      <c r="S42" s="165">
        <f t="shared" si="14"/>
        <v>0</v>
      </c>
      <c r="U42" s="163">
        <f t="shared" si="21"/>
        <v>0</v>
      </c>
      <c r="V42" s="163">
        <f t="shared" si="22"/>
        <v>0</v>
      </c>
      <c r="W42" s="163">
        <f t="shared" si="23"/>
        <v>0</v>
      </c>
      <c r="X42" s="163">
        <f t="shared" si="24"/>
        <v>0</v>
      </c>
      <c r="Y42" s="163">
        <f t="shared" si="25"/>
        <v>0</v>
      </c>
      <c r="Z42" s="163">
        <f t="shared" si="26"/>
        <v>0</v>
      </c>
      <c r="AA42" s="163">
        <f t="shared" si="15"/>
        <v>0</v>
      </c>
      <c r="AB42" s="163">
        <f t="shared" si="15"/>
        <v>0</v>
      </c>
      <c r="AC42" s="163">
        <f t="shared" si="15"/>
        <v>0</v>
      </c>
      <c r="AE42" s="51" t="s">
        <v>135</v>
      </c>
      <c r="AF42" s="55">
        <v>0.35</v>
      </c>
      <c r="AG42" s="33">
        <v>4.7</v>
      </c>
      <c r="AH42" s="33">
        <v>0.7</v>
      </c>
      <c r="AI42" s="33">
        <v>4.4000000000000004</v>
      </c>
      <c r="AJ42" s="192"/>
      <c r="AK42" s="66"/>
      <c r="AL42" s="54"/>
      <c r="AM42" s="54"/>
      <c r="AN42" s="54"/>
      <c r="AP42" s="54"/>
      <c r="AQ42" s="54"/>
      <c r="AS42" s="39" t="b">
        <f t="shared" si="27"/>
        <v>0</v>
      </c>
    </row>
    <row r="43" spans="2:45" s="5" customFormat="1" ht="14.25" customHeight="1" x14ac:dyDescent="0.25">
      <c r="B43" s="158" t="s">
        <v>154</v>
      </c>
      <c r="C43" s="35" t="s">
        <v>177</v>
      </c>
      <c r="D43" s="10"/>
      <c r="E43" s="10"/>
      <c r="F43" s="45">
        <f t="shared" si="0"/>
        <v>0</v>
      </c>
      <c r="G43" s="27"/>
      <c r="H43" s="58"/>
      <c r="I43" s="58"/>
      <c r="J43" s="64"/>
      <c r="K43" s="65"/>
      <c r="L43" s="58"/>
      <c r="M43" s="60"/>
      <c r="N43" s="61"/>
      <c r="O43" s="62"/>
      <c r="P43" s="63"/>
      <c r="Q43" s="165">
        <f t="shared" si="12"/>
        <v>0</v>
      </c>
      <c r="R43" s="165">
        <f t="shared" si="13"/>
        <v>0</v>
      </c>
      <c r="S43" s="165">
        <f t="shared" si="14"/>
        <v>0</v>
      </c>
      <c r="U43" s="163">
        <f t="shared" si="21"/>
        <v>0</v>
      </c>
      <c r="V43" s="163">
        <f t="shared" si="22"/>
        <v>0</v>
      </c>
      <c r="W43" s="163">
        <f t="shared" si="23"/>
        <v>0</v>
      </c>
      <c r="X43" s="163">
        <f t="shared" si="24"/>
        <v>0</v>
      </c>
      <c r="Y43" s="163">
        <f t="shared" si="25"/>
        <v>0</v>
      </c>
      <c r="Z43" s="163">
        <f t="shared" si="26"/>
        <v>0</v>
      </c>
      <c r="AA43" s="163">
        <f t="shared" si="15"/>
        <v>0</v>
      </c>
      <c r="AB43" s="163">
        <f t="shared" si="15"/>
        <v>0</v>
      </c>
      <c r="AC43" s="163">
        <f t="shared" si="15"/>
        <v>0</v>
      </c>
      <c r="AE43" s="51" t="s">
        <v>135</v>
      </c>
      <c r="AF43" s="55">
        <v>0.35</v>
      </c>
      <c r="AG43" s="33">
        <v>4.4000000000000004</v>
      </c>
      <c r="AH43" s="33">
        <v>0.7</v>
      </c>
      <c r="AI43" s="33">
        <v>4</v>
      </c>
      <c r="AJ43" s="192"/>
      <c r="AK43" s="66"/>
      <c r="AL43" s="54"/>
      <c r="AM43" s="54"/>
      <c r="AN43" s="54"/>
      <c r="AP43" s="54"/>
      <c r="AQ43" s="54"/>
      <c r="AS43" s="39" t="b">
        <f t="shared" si="27"/>
        <v>0</v>
      </c>
    </row>
    <row r="44" spans="2:45" s="5" customFormat="1" ht="14.25" customHeight="1" x14ac:dyDescent="0.25">
      <c r="B44" s="158" t="s">
        <v>442</v>
      </c>
      <c r="C44" s="35" t="s">
        <v>205</v>
      </c>
      <c r="D44" s="10"/>
      <c r="E44" s="10"/>
      <c r="F44" s="45">
        <f t="shared" si="0"/>
        <v>0</v>
      </c>
      <c r="G44" s="27"/>
      <c r="H44" s="58"/>
      <c r="I44" s="58"/>
      <c r="J44" s="64"/>
      <c r="K44" s="65"/>
      <c r="L44" s="58"/>
      <c r="M44" s="60"/>
      <c r="N44" s="61"/>
      <c r="O44" s="62"/>
      <c r="P44" s="63"/>
      <c r="Q44" s="165">
        <f t="shared" si="12"/>
        <v>0</v>
      </c>
      <c r="R44" s="165">
        <f t="shared" si="13"/>
        <v>0</v>
      </c>
      <c r="S44" s="165">
        <f t="shared" si="14"/>
        <v>0</v>
      </c>
      <c r="U44" s="163">
        <f t="shared" si="21"/>
        <v>0</v>
      </c>
      <c r="V44" s="163">
        <f t="shared" si="22"/>
        <v>0</v>
      </c>
      <c r="W44" s="163">
        <f t="shared" si="23"/>
        <v>0</v>
      </c>
      <c r="X44" s="163">
        <f t="shared" si="24"/>
        <v>0</v>
      </c>
      <c r="Y44" s="163">
        <f t="shared" si="25"/>
        <v>0</v>
      </c>
      <c r="Z44" s="163">
        <f t="shared" si="26"/>
        <v>0</v>
      </c>
      <c r="AA44" s="163">
        <f t="shared" si="15"/>
        <v>0</v>
      </c>
      <c r="AB44" s="163">
        <f t="shared" si="15"/>
        <v>0</v>
      </c>
      <c r="AC44" s="163">
        <f t="shared" si="15"/>
        <v>0</v>
      </c>
      <c r="AE44" s="51" t="s">
        <v>135</v>
      </c>
      <c r="AF44" s="55">
        <v>0.17</v>
      </c>
      <c r="AG44" s="33">
        <v>4.4000000000000004</v>
      </c>
      <c r="AH44" s="33">
        <v>0.6</v>
      </c>
      <c r="AI44" s="33">
        <v>4.7</v>
      </c>
      <c r="AJ44" s="192"/>
      <c r="AK44" s="66"/>
      <c r="AL44" s="54"/>
      <c r="AM44" s="54"/>
      <c r="AN44" s="54"/>
      <c r="AP44" s="54"/>
      <c r="AQ44" s="54"/>
      <c r="AS44" s="39" t="b">
        <f t="shared" si="27"/>
        <v>0</v>
      </c>
    </row>
    <row r="45" spans="2:45" s="5" customFormat="1" ht="14.25" customHeight="1" x14ac:dyDescent="0.25">
      <c r="B45" s="158" t="s">
        <v>155</v>
      </c>
      <c r="C45" s="35" t="s">
        <v>205</v>
      </c>
      <c r="D45" s="10"/>
      <c r="E45" s="10"/>
      <c r="F45" s="45">
        <f t="shared" si="0"/>
        <v>0</v>
      </c>
      <c r="G45" s="27"/>
      <c r="H45" s="58"/>
      <c r="I45" s="58"/>
      <c r="J45" s="64"/>
      <c r="K45" s="65"/>
      <c r="L45" s="58"/>
      <c r="M45" s="60"/>
      <c r="N45" s="61"/>
      <c r="O45" s="62"/>
      <c r="P45" s="63"/>
      <c r="Q45" s="165">
        <f t="shared" si="12"/>
        <v>0</v>
      </c>
      <c r="R45" s="165">
        <f t="shared" si="13"/>
        <v>0</v>
      </c>
      <c r="S45" s="165">
        <f t="shared" si="14"/>
        <v>0</v>
      </c>
      <c r="U45" s="163">
        <f t="shared" si="21"/>
        <v>0</v>
      </c>
      <c r="V45" s="163">
        <f t="shared" si="22"/>
        <v>0</v>
      </c>
      <c r="W45" s="163">
        <f t="shared" si="23"/>
        <v>0</v>
      </c>
      <c r="X45" s="163">
        <f t="shared" si="24"/>
        <v>0</v>
      </c>
      <c r="Y45" s="163">
        <f t="shared" si="25"/>
        <v>0</v>
      </c>
      <c r="Z45" s="163">
        <f t="shared" si="26"/>
        <v>0</v>
      </c>
      <c r="AA45" s="163">
        <f t="shared" si="15"/>
        <v>0</v>
      </c>
      <c r="AB45" s="163">
        <f t="shared" si="15"/>
        <v>0</v>
      </c>
      <c r="AC45" s="163">
        <f t="shared" si="15"/>
        <v>0</v>
      </c>
      <c r="AE45" s="51" t="s">
        <v>135</v>
      </c>
      <c r="AF45" s="55">
        <v>0.17</v>
      </c>
      <c r="AG45" s="33">
        <v>4.5999999999999996</v>
      </c>
      <c r="AH45" s="33">
        <v>0.6</v>
      </c>
      <c r="AI45" s="33">
        <v>3.7</v>
      </c>
      <c r="AJ45" s="192"/>
      <c r="AK45" s="67"/>
      <c r="AL45" s="54"/>
      <c r="AM45" s="54"/>
      <c r="AN45" s="54"/>
      <c r="AP45" s="127">
        <v>80</v>
      </c>
      <c r="AQ45" s="57">
        <f>D45*AP45</f>
        <v>0</v>
      </c>
      <c r="AS45" s="39" t="b">
        <f t="shared" si="27"/>
        <v>0</v>
      </c>
    </row>
    <row r="46" spans="2:45" s="5" customFormat="1" ht="14.25" customHeight="1" x14ac:dyDescent="0.25">
      <c r="B46" s="158" t="s">
        <v>156</v>
      </c>
      <c r="C46" s="35" t="s">
        <v>205</v>
      </c>
      <c r="D46" s="10"/>
      <c r="E46" s="10"/>
      <c r="F46" s="45">
        <f t="shared" si="0"/>
        <v>0</v>
      </c>
      <c r="G46" s="27"/>
      <c r="H46" s="58"/>
      <c r="I46" s="58"/>
      <c r="J46" s="64"/>
      <c r="K46" s="65"/>
      <c r="L46" s="58"/>
      <c r="M46" s="60"/>
      <c r="N46" s="61"/>
      <c r="O46" s="62"/>
      <c r="P46" s="63"/>
      <c r="Q46" s="165">
        <f t="shared" si="12"/>
        <v>0</v>
      </c>
      <c r="R46" s="165">
        <f t="shared" si="13"/>
        <v>0</v>
      </c>
      <c r="S46" s="165">
        <f t="shared" si="14"/>
        <v>0</v>
      </c>
      <c r="U46" s="163">
        <f t="shared" si="21"/>
        <v>0</v>
      </c>
      <c r="V46" s="163">
        <f t="shared" si="22"/>
        <v>0</v>
      </c>
      <c r="W46" s="163">
        <f t="shared" si="23"/>
        <v>0</v>
      </c>
      <c r="X46" s="163">
        <f t="shared" si="24"/>
        <v>0</v>
      </c>
      <c r="Y46" s="163">
        <f t="shared" si="25"/>
        <v>0</v>
      </c>
      <c r="Z46" s="163">
        <f t="shared" si="26"/>
        <v>0</v>
      </c>
      <c r="AA46" s="163">
        <f t="shared" si="15"/>
        <v>0</v>
      </c>
      <c r="AB46" s="163">
        <f t="shared" si="15"/>
        <v>0</v>
      </c>
      <c r="AC46" s="163">
        <f t="shared" si="15"/>
        <v>0</v>
      </c>
      <c r="AE46" s="51" t="s">
        <v>135</v>
      </c>
      <c r="AF46" s="55">
        <v>0.17</v>
      </c>
      <c r="AG46" s="33">
        <v>3.8</v>
      </c>
      <c r="AH46" s="33">
        <v>0.5</v>
      </c>
      <c r="AI46" s="33">
        <v>3.3</v>
      </c>
      <c r="AJ46" s="192"/>
      <c r="AK46" s="67"/>
      <c r="AL46" s="54"/>
      <c r="AM46" s="54"/>
      <c r="AN46" s="54"/>
      <c r="AP46" s="127">
        <v>80</v>
      </c>
      <c r="AQ46" s="57">
        <f>D46*AP46</f>
        <v>0</v>
      </c>
      <c r="AS46" s="39" t="b">
        <f t="shared" si="27"/>
        <v>0</v>
      </c>
    </row>
    <row r="47" spans="2:45" s="5" customFormat="1" ht="14.25" customHeight="1" x14ac:dyDescent="0.25">
      <c r="B47" s="158" t="s">
        <v>148</v>
      </c>
      <c r="C47" s="35" t="s">
        <v>205</v>
      </c>
      <c r="D47" s="10"/>
      <c r="E47" s="10"/>
      <c r="F47" s="45">
        <f t="shared" si="0"/>
        <v>0</v>
      </c>
      <c r="G47" s="27"/>
      <c r="H47" s="58"/>
      <c r="I47" s="58"/>
      <c r="J47" s="64"/>
      <c r="K47" s="65"/>
      <c r="L47" s="58"/>
      <c r="M47" s="60"/>
      <c r="N47" s="61"/>
      <c r="O47" s="62"/>
      <c r="P47" s="63"/>
      <c r="Q47" s="165">
        <f t="shared" si="12"/>
        <v>0</v>
      </c>
      <c r="R47" s="165">
        <f t="shared" si="13"/>
        <v>0</v>
      </c>
      <c r="S47" s="165">
        <f t="shared" si="14"/>
        <v>0</v>
      </c>
      <c r="U47" s="163">
        <f t="shared" si="21"/>
        <v>0</v>
      </c>
      <c r="V47" s="163">
        <f t="shared" si="22"/>
        <v>0</v>
      </c>
      <c r="W47" s="163">
        <f t="shared" si="23"/>
        <v>0</v>
      </c>
      <c r="X47" s="163">
        <f t="shared" si="24"/>
        <v>0</v>
      </c>
      <c r="Y47" s="163">
        <f t="shared" si="25"/>
        <v>0</v>
      </c>
      <c r="Z47" s="163">
        <f t="shared" si="26"/>
        <v>0</v>
      </c>
      <c r="AA47" s="163">
        <f t="shared" si="15"/>
        <v>0</v>
      </c>
      <c r="AB47" s="163">
        <f t="shared" si="15"/>
        <v>0</v>
      </c>
      <c r="AC47" s="163">
        <f t="shared" si="15"/>
        <v>0</v>
      </c>
      <c r="AE47" s="51" t="s">
        <v>135</v>
      </c>
      <c r="AF47" s="55">
        <v>0.17</v>
      </c>
      <c r="AG47" s="33">
        <v>4</v>
      </c>
      <c r="AH47" s="33">
        <v>0.6</v>
      </c>
      <c r="AI47" s="33">
        <v>4.5</v>
      </c>
      <c r="AJ47" s="192"/>
      <c r="AK47" s="67"/>
      <c r="AL47" s="54"/>
      <c r="AM47" s="54"/>
      <c r="AN47" s="54"/>
      <c r="AP47" s="127">
        <v>80</v>
      </c>
      <c r="AQ47" s="57">
        <f>D47*AP47</f>
        <v>0</v>
      </c>
      <c r="AS47" s="39" t="b">
        <f t="shared" si="27"/>
        <v>0</v>
      </c>
    </row>
    <row r="48" spans="2:45" s="5" customFormat="1" ht="14.25" customHeight="1" x14ac:dyDescent="0.25">
      <c r="B48" s="158" t="s">
        <v>157</v>
      </c>
      <c r="C48" s="35" t="s">
        <v>205</v>
      </c>
      <c r="D48" s="10"/>
      <c r="E48" s="10"/>
      <c r="F48" s="45">
        <f t="shared" si="0"/>
        <v>0</v>
      </c>
      <c r="G48" s="27"/>
      <c r="H48" s="58"/>
      <c r="I48" s="58"/>
      <c r="J48" s="64"/>
      <c r="K48" s="65"/>
      <c r="L48" s="58"/>
      <c r="M48" s="60"/>
      <c r="N48" s="61"/>
      <c r="O48" s="62"/>
      <c r="P48" s="63"/>
      <c r="Q48" s="165">
        <f t="shared" si="12"/>
        <v>0</v>
      </c>
      <c r="R48" s="165">
        <f t="shared" si="13"/>
        <v>0</v>
      </c>
      <c r="S48" s="165">
        <f t="shared" si="14"/>
        <v>0</v>
      </c>
      <c r="U48" s="163">
        <f t="shared" si="21"/>
        <v>0</v>
      </c>
      <c r="V48" s="163">
        <f t="shared" si="22"/>
        <v>0</v>
      </c>
      <c r="W48" s="163">
        <f t="shared" si="23"/>
        <v>0</v>
      </c>
      <c r="X48" s="163">
        <f t="shared" si="24"/>
        <v>0</v>
      </c>
      <c r="Y48" s="163">
        <f t="shared" si="25"/>
        <v>0</v>
      </c>
      <c r="Z48" s="163">
        <f t="shared" si="26"/>
        <v>0</v>
      </c>
      <c r="AA48" s="163">
        <f t="shared" si="15"/>
        <v>0</v>
      </c>
      <c r="AB48" s="163">
        <f t="shared" si="15"/>
        <v>0</v>
      </c>
      <c r="AC48" s="163">
        <f t="shared" si="15"/>
        <v>0</v>
      </c>
      <c r="AE48" s="51" t="s">
        <v>135</v>
      </c>
      <c r="AF48" s="55">
        <v>0.17</v>
      </c>
      <c r="AG48" s="33">
        <v>4.7</v>
      </c>
      <c r="AH48" s="33">
        <v>0.5</v>
      </c>
      <c r="AI48" s="33">
        <v>4.2</v>
      </c>
      <c r="AJ48" s="192"/>
      <c r="AK48" s="67"/>
      <c r="AL48" s="54"/>
      <c r="AM48" s="54"/>
      <c r="AN48" s="54"/>
      <c r="AP48" s="127">
        <v>80</v>
      </c>
      <c r="AQ48" s="57">
        <f>D48*AP48</f>
        <v>0</v>
      </c>
      <c r="AS48" s="39" t="b">
        <f t="shared" si="27"/>
        <v>0</v>
      </c>
    </row>
    <row r="49" spans="2:45" s="5" customFormat="1" ht="14.25" customHeight="1" x14ac:dyDescent="0.25">
      <c r="B49" s="158" t="s">
        <v>166</v>
      </c>
      <c r="C49" s="35" t="s">
        <v>205</v>
      </c>
      <c r="D49" s="10"/>
      <c r="E49" s="10"/>
      <c r="F49" s="45">
        <f t="shared" si="0"/>
        <v>0</v>
      </c>
      <c r="G49" s="27"/>
      <c r="H49" s="58"/>
      <c r="I49" s="58"/>
      <c r="J49" s="64"/>
      <c r="K49" s="65"/>
      <c r="L49" s="58"/>
      <c r="M49" s="60"/>
      <c r="N49" s="61"/>
      <c r="O49" s="62"/>
      <c r="P49" s="63"/>
      <c r="Q49" s="165">
        <f t="shared" si="12"/>
        <v>0</v>
      </c>
      <c r="R49" s="165">
        <f t="shared" si="13"/>
        <v>0</v>
      </c>
      <c r="S49" s="165">
        <f t="shared" si="14"/>
        <v>0</v>
      </c>
      <c r="U49" s="163">
        <f t="shared" si="21"/>
        <v>0</v>
      </c>
      <c r="V49" s="163">
        <f t="shared" si="22"/>
        <v>0</v>
      </c>
      <c r="W49" s="163">
        <f t="shared" si="23"/>
        <v>0</v>
      </c>
      <c r="X49" s="163">
        <f t="shared" si="24"/>
        <v>0</v>
      </c>
      <c r="Y49" s="163">
        <f t="shared" si="25"/>
        <v>0</v>
      </c>
      <c r="Z49" s="163">
        <f t="shared" si="26"/>
        <v>0</v>
      </c>
      <c r="AA49" s="163">
        <f t="shared" si="15"/>
        <v>0</v>
      </c>
      <c r="AB49" s="163">
        <f t="shared" si="15"/>
        <v>0</v>
      </c>
      <c r="AC49" s="163">
        <f t="shared" si="15"/>
        <v>0</v>
      </c>
      <c r="AE49" s="51" t="s">
        <v>135</v>
      </c>
      <c r="AF49" s="55">
        <v>0.17</v>
      </c>
      <c r="AG49" s="33">
        <v>4</v>
      </c>
      <c r="AH49" s="33">
        <v>0.7</v>
      </c>
      <c r="AI49" s="33">
        <v>4.0999999999999996</v>
      </c>
      <c r="AJ49" s="192"/>
      <c r="AK49" s="67"/>
      <c r="AL49" s="54"/>
      <c r="AM49" s="54"/>
      <c r="AN49" s="54"/>
      <c r="AP49" s="54"/>
      <c r="AQ49" s="54"/>
      <c r="AS49" s="39" t="b">
        <f t="shared" si="27"/>
        <v>0</v>
      </c>
    </row>
    <row r="50" spans="2:45" s="5" customFormat="1" ht="14.25" customHeight="1" x14ac:dyDescent="0.25">
      <c r="B50" s="158" t="s">
        <v>158</v>
      </c>
      <c r="C50" s="35" t="s">
        <v>205</v>
      </c>
      <c r="D50" s="10"/>
      <c r="E50" s="10"/>
      <c r="F50" s="45">
        <f t="shared" si="0"/>
        <v>0</v>
      </c>
      <c r="G50" s="27"/>
      <c r="H50" s="58"/>
      <c r="I50" s="58"/>
      <c r="J50" s="64"/>
      <c r="K50" s="65"/>
      <c r="L50" s="58"/>
      <c r="M50" s="60"/>
      <c r="N50" s="61"/>
      <c r="O50" s="62"/>
      <c r="P50" s="63"/>
      <c r="Q50" s="165">
        <f t="shared" si="12"/>
        <v>0</v>
      </c>
      <c r="R50" s="165">
        <f t="shared" si="13"/>
        <v>0</v>
      </c>
      <c r="S50" s="165">
        <f t="shared" si="14"/>
        <v>0</v>
      </c>
      <c r="U50" s="163">
        <f t="shared" si="21"/>
        <v>0</v>
      </c>
      <c r="V50" s="163">
        <f t="shared" si="22"/>
        <v>0</v>
      </c>
      <c r="W50" s="163">
        <f t="shared" si="23"/>
        <v>0</v>
      </c>
      <c r="X50" s="163">
        <f t="shared" si="24"/>
        <v>0</v>
      </c>
      <c r="Y50" s="163">
        <f t="shared" si="25"/>
        <v>0</v>
      </c>
      <c r="Z50" s="163">
        <f t="shared" si="26"/>
        <v>0</v>
      </c>
      <c r="AA50" s="163">
        <f t="shared" si="15"/>
        <v>0</v>
      </c>
      <c r="AB50" s="163">
        <f t="shared" si="15"/>
        <v>0</v>
      </c>
      <c r="AC50" s="163">
        <f t="shared" si="15"/>
        <v>0</v>
      </c>
      <c r="AE50" s="51" t="s">
        <v>135</v>
      </c>
      <c r="AF50" s="55">
        <v>0.17</v>
      </c>
      <c r="AG50" s="33">
        <v>4.8</v>
      </c>
      <c r="AH50" s="33">
        <v>0.6</v>
      </c>
      <c r="AI50" s="33">
        <v>5.7</v>
      </c>
      <c r="AJ50" s="192"/>
      <c r="AK50" s="67"/>
      <c r="AL50" s="54"/>
      <c r="AM50" s="54"/>
      <c r="AN50" s="54"/>
      <c r="AP50" s="54"/>
      <c r="AQ50" s="54"/>
      <c r="AS50" s="39" t="b">
        <f t="shared" si="27"/>
        <v>0</v>
      </c>
    </row>
    <row r="51" spans="2:45" s="5" customFormat="1" ht="14.25" customHeight="1" x14ac:dyDescent="0.25">
      <c r="B51" s="158" t="s">
        <v>159</v>
      </c>
      <c r="C51" s="35" t="s">
        <v>205</v>
      </c>
      <c r="D51" s="10"/>
      <c r="E51" s="10"/>
      <c r="F51" s="45">
        <f t="shared" si="0"/>
        <v>0</v>
      </c>
      <c r="G51" s="27"/>
      <c r="H51" s="58"/>
      <c r="I51" s="58"/>
      <c r="J51" s="64"/>
      <c r="K51" s="65"/>
      <c r="L51" s="58"/>
      <c r="M51" s="60"/>
      <c r="N51" s="61"/>
      <c r="O51" s="62"/>
      <c r="P51" s="63"/>
      <c r="Q51" s="165">
        <f t="shared" si="12"/>
        <v>0</v>
      </c>
      <c r="R51" s="165">
        <f t="shared" si="13"/>
        <v>0</v>
      </c>
      <c r="S51" s="165">
        <f t="shared" si="14"/>
        <v>0</v>
      </c>
      <c r="U51" s="163">
        <f t="shared" si="21"/>
        <v>0</v>
      </c>
      <c r="V51" s="163">
        <f t="shared" si="22"/>
        <v>0</v>
      </c>
      <c r="W51" s="163">
        <f t="shared" si="23"/>
        <v>0</v>
      </c>
      <c r="X51" s="163">
        <f t="shared" si="24"/>
        <v>0</v>
      </c>
      <c r="Y51" s="163">
        <f t="shared" si="25"/>
        <v>0</v>
      </c>
      <c r="Z51" s="163">
        <f t="shared" si="26"/>
        <v>0</v>
      </c>
      <c r="AA51" s="163">
        <f t="shared" si="15"/>
        <v>0</v>
      </c>
      <c r="AB51" s="163">
        <f t="shared" si="15"/>
        <v>0</v>
      </c>
      <c r="AC51" s="163">
        <f t="shared" si="15"/>
        <v>0</v>
      </c>
      <c r="AE51" s="51" t="s">
        <v>135</v>
      </c>
      <c r="AF51" s="55">
        <v>0.17</v>
      </c>
      <c r="AG51" s="33">
        <v>5.0999999999999996</v>
      </c>
      <c r="AH51" s="33">
        <v>0.7</v>
      </c>
      <c r="AI51" s="33">
        <v>5.4</v>
      </c>
      <c r="AJ51" s="192"/>
      <c r="AK51" s="67"/>
      <c r="AL51" s="54"/>
      <c r="AM51" s="54"/>
      <c r="AN51" s="54"/>
      <c r="AP51" s="54"/>
      <c r="AQ51" s="54"/>
      <c r="AS51" s="39" t="b">
        <f t="shared" si="27"/>
        <v>0</v>
      </c>
    </row>
    <row r="52" spans="2:45" s="5" customFormat="1" ht="14.25" customHeight="1" x14ac:dyDescent="0.25">
      <c r="B52" s="158" t="s">
        <v>160</v>
      </c>
      <c r="C52" s="35" t="s">
        <v>205</v>
      </c>
      <c r="D52" s="10"/>
      <c r="E52" s="10"/>
      <c r="F52" s="45">
        <f t="shared" si="0"/>
        <v>0</v>
      </c>
      <c r="G52" s="27"/>
      <c r="H52" s="58"/>
      <c r="I52" s="58"/>
      <c r="J52" s="64"/>
      <c r="K52" s="65"/>
      <c r="L52" s="58"/>
      <c r="M52" s="60"/>
      <c r="N52" s="61"/>
      <c r="O52" s="62"/>
      <c r="P52" s="63"/>
      <c r="Q52" s="165">
        <f t="shared" si="12"/>
        <v>0</v>
      </c>
      <c r="R52" s="165">
        <f t="shared" si="13"/>
        <v>0</v>
      </c>
      <c r="S52" s="165">
        <f t="shared" si="14"/>
        <v>0</v>
      </c>
      <c r="U52" s="163">
        <f t="shared" si="21"/>
        <v>0</v>
      </c>
      <c r="V52" s="163">
        <f t="shared" si="22"/>
        <v>0</v>
      </c>
      <c r="W52" s="163">
        <f t="shared" si="23"/>
        <v>0</v>
      </c>
      <c r="X52" s="163">
        <f t="shared" si="24"/>
        <v>0</v>
      </c>
      <c r="Y52" s="163">
        <f t="shared" si="25"/>
        <v>0</v>
      </c>
      <c r="Z52" s="163">
        <f t="shared" si="26"/>
        <v>0</v>
      </c>
      <c r="AA52" s="163">
        <f t="shared" si="15"/>
        <v>0</v>
      </c>
      <c r="AB52" s="163">
        <f t="shared" si="15"/>
        <v>0</v>
      </c>
      <c r="AC52" s="163">
        <f t="shared" si="15"/>
        <v>0</v>
      </c>
      <c r="AE52" s="51" t="s">
        <v>135</v>
      </c>
      <c r="AF52" s="55">
        <v>0.17</v>
      </c>
      <c r="AG52" s="33">
        <v>5.7</v>
      </c>
      <c r="AH52" s="33">
        <v>0.4</v>
      </c>
      <c r="AI52" s="33">
        <v>4</v>
      </c>
      <c r="AJ52" s="192"/>
      <c r="AK52" s="67"/>
      <c r="AL52" s="54"/>
      <c r="AM52" s="54"/>
      <c r="AN52" s="54"/>
      <c r="AP52" s="54"/>
      <c r="AQ52" s="54"/>
      <c r="AS52" s="39" t="b">
        <f t="shared" si="27"/>
        <v>0</v>
      </c>
    </row>
    <row r="53" spans="2:45" s="5" customFormat="1" ht="14.25" customHeight="1" x14ac:dyDescent="0.25">
      <c r="B53" s="158" t="s">
        <v>144</v>
      </c>
      <c r="C53" s="35" t="s">
        <v>205</v>
      </c>
      <c r="D53" s="10"/>
      <c r="E53" s="10"/>
      <c r="F53" s="45">
        <f t="shared" si="0"/>
        <v>0</v>
      </c>
      <c r="G53" s="27"/>
      <c r="H53" s="58"/>
      <c r="I53" s="58"/>
      <c r="J53" s="64"/>
      <c r="K53" s="65"/>
      <c r="L53" s="58"/>
      <c r="M53" s="60"/>
      <c r="N53" s="61"/>
      <c r="O53" s="62"/>
      <c r="P53" s="63"/>
      <c r="Q53" s="165">
        <f t="shared" si="12"/>
        <v>0</v>
      </c>
      <c r="R53" s="165">
        <f t="shared" si="13"/>
        <v>0</v>
      </c>
      <c r="S53" s="165">
        <f t="shared" si="14"/>
        <v>0</v>
      </c>
      <c r="U53" s="163">
        <f t="shared" si="21"/>
        <v>0</v>
      </c>
      <c r="V53" s="163">
        <f t="shared" si="22"/>
        <v>0</v>
      </c>
      <c r="W53" s="163">
        <f t="shared" si="23"/>
        <v>0</v>
      </c>
      <c r="X53" s="163">
        <f t="shared" si="24"/>
        <v>0</v>
      </c>
      <c r="Y53" s="163">
        <f t="shared" si="25"/>
        <v>0</v>
      </c>
      <c r="Z53" s="163">
        <f t="shared" si="26"/>
        <v>0</v>
      </c>
      <c r="AA53" s="163">
        <f t="shared" si="15"/>
        <v>0</v>
      </c>
      <c r="AB53" s="163">
        <f t="shared" si="15"/>
        <v>0</v>
      </c>
      <c r="AC53" s="163">
        <f t="shared" si="15"/>
        <v>0</v>
      </c>
      <c r="AE53" s="51" t="s">
        <v>135</v>
      </c>
      <c r="AF53" s="55">
        <v>0.17</v>
      </c>
      <c r="AG53" s="33">
        <v>4</v>
      </c>
      <c r="AH53" s="33">
        <v>0.6</v>
      </c>
      <c r="AI53" s="33">
        <v>4.5</v>
      </c>
      <c r="AJ53" s="192"/>
      <c r="AK53" s="67"/>
      <c r="AL53" s="54"/>
      <c r="AM53" s="54"/>
      <c r="AN53" s="54"/>
      <c r="AP53" s="54"/>
      <c r="AQ53" s="54"/>
      <c r="AS53" s="39" t="b">
        <f t="shared" si="27"/>
        <v>0</v>
      </c>
    </row>
    <row r="54" spans="2:45" s="5" customFormat="1" ht="14.25" customHeight="1" x14ac:dyDescent="0.25">
      <c r="B54" s="158" t="s">
        <v>173</v>
      </c>
      <c r="C54" s="35" t="s">
        <v>234</v>
      </c>
      <c r="D54" s="10"/>
      <c r="E54" s="10"/>
      <c r="F54" s="45">
        <f t="shared" si="0"/>
        <v>0</v>
      </c>
      <c r="G54" s="27"/>
      <c r="H54" s="58"/>
      <c r="I54" s="58"/>
      <c r="J54" s="64"/>
      <c r="K54" s="65"/>
      <c r="L54" s="58"/>
      <c r="M54" s="60"/>
      <c r="N54" s="61"/>
      <c r="O54" s="62"/>
      <c r="P54" s="63"/>
      <c r="Q54" s="165">
        <f t="shared" si="12"/>
        <v>0</v>
      </c>
      <c r="R54" s="165">
        <f t="shared" si="13"/>
        <v>0</v>
      </c>
      <c r="S54" s="165">
        <f t="shared" si="14"/>
        <v>0</v>
      </c>
      <c r="U54" s="163">
        <f t="shared" si="21"/>
        <v>0</v>
      </c>
      <c r="V54" s="163">
        <f t="shared" si="22"/>
        <v>0</v>
      </c>
      <c r="W54" s="163">
        <f t="shared" si="23"/>
        <v>0</v>
      </c>
      <c r="X54" s="163">
        <f t="shared" si="24"/>
        <v>0</v>
      </c>
      <c r="Y54" s="163">
        <f t="shared" si="25"/>
        <v>0</v>
      </c>
      <c r="Z54" s="163">
        <f t="shared" si="26"/>
        <v>0</v>
      </c>
      <c r="AA54" s="163">
        <f t="shared" si="15"/>
        <v>0</v>
      </c>
      <c r="AB54" s="163">
        <f t="shared" si="15"/>
        <v>0</v>
      </c>
      <c r="AC54" s="163">
        <f t="shared" si="15"/>
        <v>0</v>
      </c>
      <c r="AE54" s="51" t="s">
        <v>136</v>
      </c>
      <c r="AF54" s="55">
        <v>0.85</v>
      </c>
      <c r="AG54" s="33">
        <v>24.1</v>
      </c>
      <c r="AH54" s="33">
        <v>2</v>
      </c>
      <c r="AI54" s="33">
        <v>17.899999999999999</v>
      </c>
      <c r="AJ54" s="192"/>
      <c r="AK54" s="67"/>
      <c r="AL54" s="54"/>
      <c r="AM54" s="54"/>
      <c r="AN54" s="54"/>
      <c r="AP54" s="127">
        <v>180</v>
      </c>
      <c r="AQ54" s="57">
        <f>D54*AP54</f>
        <v>0</v>
      </c>
      <c r="AS54" s="39" t="b">
        <f t="shared" si="27"/>
        <v>0</v>
      </c>
    </row>
    <row r="55" spans="2:45" s="5" customFormat="1" ht="14.25" customHeight="1" x14ac:dyDescent="0.25">
      <c r="B55" s="158" t="s">
        <v>174</v>
      </c>
      <c r="C55" s="35" t="s">
        <v>234</v>
      </c>
      <c r="D55" s="10"/>
      <c r="E55" s="10"/>
      <c r="F55" s="45">
        <f t="shared" si="0"/>
        <v>0</v>
      </c>
      <c r="G55" s="27"/>
      <c r="H55" s="58"/>
      <c r="I55" s="58"/>
      <c r="J55" s="64"/>
      <c r="K55" s="65"/>
      <c r="L55" s="58"/>
      <c r="M55" s="60"/>
      <c r="N55" s="61"/>
      <c r="O55" s="62"/>
      <c r="P55" s="63"/>
      <c r="Q55" s="165">
        <f t="shared" si="12"/>
        <v>0</v>
      </c>
      <c r="R55" s="165">
        <f t="shared" si="13"/>
        <v>0</v>
      </c>
      <c r="S55" s="165">
        <f t="shared" si="14"/>
        <v>0</v>
      </c>
      <c r="U55" s="163">
        <f t="shared" si="21"/>
        <v>0</v>
      </c>
      <c r="V55" s="163">
        <f t="shared" si="22"/>
        <v>0</v>
      </c>
      <c r="W55" s="163">
        <f t="shared" si="23"/>
        <v>0</v>
      </c>
      <c r="X55" s="163">
        <f t="shared" si="24"/>
        <v>0</v>
      </c>
      <c r="Y55" s="163">
        <f t="shared" si="25"/>
        <v>0</v>
      </c>
      <c r="Z55" s="163">
        <f t="shared" si="26"/>
        <v>0</v>
      </c>
      <c r="AA55" s="163">
        <f t="shared" si="15"/>
        <v>0</v>
      </c>
      <c r="AB55" s="163">
        <f t="shared" si="15"/>
        <v>0</v>
      </c>
      <c r="AC55" s="163">
        <f t="shared" si="15"/>
        <v>0</v>
      </c>
      <c r="AE55" s="51" t="s">
        <v>136</v>
      </c>
      <c r="AF55" s="55">
        <v>0.85</v>
      </c>
      <c r="AG55" s="33">
        <v>28.3</v>
      </c>
      <c r="AH55" s="33">
        <v>2.2999999999999998</v>
      </c>
      <c r="AI55" s="33">
        <v>18.2</v>
      </c>
      <c r="AJ55" s="192"/>
      <c r="AK55" s="67"/>
      <c r="AL55" s="54"/>
      <c r="AM55" s="54"/>
      <c r="AN55" s="54"/>
      <c r="AP55" s="127">
        <v>180</v>
      </c>
      <c r="AQ55" s="57">
        <f>D55*AP55</f>
        <v>0</v>
      </c>
      <c r="AS55" s="39" t="b">
        <f t="shared" si="27"/>
        <v>0</v>
      </c>
    </row>
    <row r="56" spans="2:45" s="5" customFormat="1" ht="14.25" customHeight="1" x14ac:dyDescent="0.25">
      <c r="B56" s="158" t="s">
        <v>187</v>
      </c>
      <c r="C56" s="35" t="s">
        <v>234</v>
      </c>
      <c r="D56" s="10"/>
      <c r="E56" s="10"/>
      <c r="F56" s="45">
        <f t="shared" si="0"/>
        <v>0</v>
      </c>
      <c r="G56" s="27"/>
      <c r="H56" s="58"/>
      <c r="I56" s="58"/>
      <c r="J56" s="64"/>
      <c r="K56" s="65"/>
      <c r="L56" s="58"/>
      <c r="M56" s="60"/>
      <c r="N56" s="61"/>
      <c r="O56" s="62"/>
      <c r="P56" s="63"/>
      <c r="Q56" s="165">
        <f t="shared" si="12"/>
        <v>0</v>
      </c>
      <c r="R56" s="165">
        <f t="shared" si="13"/>
        <v>0</v>
      </c>
      <c r="S56" s="165">
        <f t="shared" si="14"/>
        <v>0</v>
      </c>
      <c r="U56" s="163">
        <f t="shared" si="21"/>
        <v>0</v>
      </c>
      <c r="V56" s="163">
        <f t="shared" si="22"/>
        <v>0</v>
      </c>
      <c r="W56" s="163">
        <f t="shared" si="23"/>
        <v>0</v>
      </c>
      <c r="X56" s="163">
        <f t="shared" si="24"/>
        <v>0</v>
      </c>
      <c r="Y56" s="163">
        <f t="shared" si="25"/>
        <v>0</v>
      </c>
      <c r="Z56" s="163">
        <f t="shared" si="26"/>
        <v>0</v>
      </c>
      <c r="AA56" s="163">
        <f t="shared" si="15"/>
        <v>0</v>
      </c>
      <c r="AB56" s="163">
        <f t="shared" si="15"/>
        <v>0</v>
      </c>
      <c r="AC56" s="163">
        <f t="shared" si="15"/>
        <v>0</v>
      </c>
      <c r="AE56" s="51" t="s">
        <v>136</v>
      </c>
      <c r="AF56" s="55">
        <v>0.85</v>
      </c>
      <c r="AG56" s="33">
        <v>28.3</v>
      </c>
      <c r="AH56" s="33">
        <v>2.2999999999999998</v>
      </c>
      <c r="AI56" s="33">
        <v>18.2</v>
      </c>
      <c r="AJ56" s="192"/>
      <c r="AK56" s="67"/>
      <c r="AL56" s="54"/>
      <c r="AM56" s="54"/>
      <c r="AN56" s="54"/>
      <c r="AP56" s="127">
        <v>80</v>
      </c>
      <c r="AQ56" s="57">
        <f>D56*AP56</f>
        <v>0</v>
      </c>
      <c r="AS56" s="39" t="b">
        <f t="shared" si="27"/>
        <v>0</v>
      </c>
    </row>
    <row r="57" spans="2:45" s="5" customFormat="1" ht="14.25" customHeight="1" x14ac:dyDescent="0.25">
      <c r="B57" s="159" t="s">
        <v>146</v>
      </c>
      <c r="C57" s="36"/>
      <c r="D57" s="10"/>
      <c r="E57" s="10"/>
      <c r="F57" s="45">
        <f t="shared" si="0"/>
        <v>0</v>
      </c>
      <c r="G57" s="27"/>
      <c r="H57" s="9"/>
      <c r="I57" s="46">
        <f>IF(L57=0,IF(F57=0,G57*K57*H57,F57*K57*H57),0)</f>
        <v>0</v>
      </c>
      <c r="J57" s="47" t="s">
        <v>169</v>
      </c>
      <c r="K57" s="48">
        <v>8</v>
      </c>
      <c r="L57" s="9">
        <v>0</v>
      </c>
      <c r="M57" s="47" t="s">
        <v>272</v>
      </c>
      <c r="N57" s="48" t="str">
        <f>IF(H57=0,"",IF(F57+G57=0,"",IF(L57=0,0,IF(G57=0,(L57/H57)/F57,(L57/H57)/G57))))</f>
        <v/>
      </c>
      <c r="O57" s="49">
        <f>D57-H57</f>
        <v>0</v>
      </c>
      <c r="P57" s="50" t="str">
        <f>IF(O57&lt;0,"!",IF(AS57=TRUE,"!",""))</f>
        <v/>
      </c>
      <c r="Q57" s="165">
        <f t="shared" si="12"/>
        <v>0</v>
      </c>
      <c r="R57" s="165">
        <f t="shared" si="13"/>
        <v>0</v>
      </c>
      <c r="S57" s="165">
        <f t="shared" si="14"/>
        <v>0</v>
      </c>
      <c r="U57" s="163">
        <f t="shared" si="21"/>
        <v>0</v>
      </c>
      <c r="V57" s="163">
        <f t="shared" si="22"/>
        <v>0</v>
      </c>
      <c r="W57" s="163">
        <f t="shared" si="23"/>
        <v>0</v>
      </c>
      <c r="X57" s="163">
        <f t="shared" si="24"/>
        <v>0</v>
      </c>
      <c r="Y57" s="163">
        <f t="shared" si="25"/>
        <v>0</v>
      </c>
      <c r="Z57" s="163">
        <f t="shared" si="26"/>
        <v>0</v>
      </c>
      <c r="AA57" s="163">
        <f t="shared" si="15"/>
        <v>0</v>
      </c>
      <c r="AB57" s="163">
        <f t="shared" si="15"/>
        <v>0</v>
      </c>
      <c r="AC57" s="163">
        <f t="shared" si="15"/>
        <v>0</v>
      </c>
      <c r="AE57" s="51" t="s">
        <v>141</v>
      </c>
      <c r="AF57" s="55">
        <v>0.91</v>
      </c>
      <c r="AG57" s="33">
        <v>55</v>
      </c>
      <c r="AH57" s="33">
        <v>6.4</v>
      </c>
      <c r="AI57" s="33">
        <v>5.8</v>
      </c>
      <c r="AJ57" s="191" t="s">
        <v>145</v>
      </c>
      <c r="AK57" s="56">
        <v>0.91</v>
      </c>
      <c r="AL57" s="53">
        <v>15</v>
      </c>
      <c r="AM57" s="53">
        <v>1.3</v>
      </c>
      <c r="AN57" s="53">
        <v>22.8</v>
      </c>
      <c r="AP57" s="54">
        <v>0</v>
      </c>
      <c r="AQ57" s="54"/>
      <c r="AS57" s="39" t="b">
        <f t="shared" si="27"/>
        <v>0</v>
      </c>
    </row>
    <row r="58" spans="2:45" s="5" customFormat="1" ht="14.25" customHeight="1" x14ac:dyDescent="0.25">
      <c r="B58" s="158" t="s">
        <v>77</v>
      </c>
      <c r="C58" s="35" t="s">
        <v>234</v>
      </c>
      <c r="D58" s="10"/>
      <c r="E58" s="10"/>
      <c r="F58" s="45">
        <f t="shared" si="0"/>
        <v>0</v>
      </c>
      <c r="G58" s="27"/>
      <c r="H58" s="62"/>
      <c r="I58" s="62"/>
      <c r="J58" s="64"/>
      <c r="K58" s="65"/>
      <c r="L58" s="62"/>
      <c r="M58" s="60"/>
      <c r="N58" s="61"/>
      <c r="O58" s="62"/>
      <c r="P58" s="63"/>
      <c r="Q58" s="165">
        <f t="shared" si="12"/>
        <v>0</v>
      </c>
      <c r="R58" s="165">
        <f t="shared" si="13"/>
        <v>0</v>
      </c>
      <c r="S58" s="165">
        <f t="shared" si="14"/>
        <v>0</v>
      </c>
      <c r="U58" s="163">
        <f t="shared" si="21"/>
        <v>0</v>
      </c>
      <c r="V58" s="163">
        <f t="shared" si="22"/>
        <v>0</v>
      </c>
      <c r="W58" s="163">
        <f t="shared" si="23"/>
        <v>0</v>
      </c>
      <c r="X58" s="163">
        <f t="shared" si="24"/>
        <v>0</v>
      </c>
      <c r="Y58" s="163">
        <f t="shared" si="25"/>
        <v>0</v>
      </c>
      <c r="Z58" s="163">
        <f t="shared" si="26"/>
        <v>0</v>
      </c>
      <c r="AA58" s="163">
        <f t="shared" si="15"/>
        <v>0</v>
      </c>
      <c r="AB58" s="163">
        <f t="shared" si="15"/>
        <v>0</v>
      </c>
      <c r="AC58" s="163">
        <f t="shared" si="15"/>
        <v>0</v>
      </c>
      <c r="AE58" s="51" t="s">
        <v>136</v>
      </c>
      <c r="AF58" s="55">
        <v>0.85</v>
      </c>
      <c r="AG58" s="33">
        <v>21.8</v>
      </c>
      <c r="AH58" s="33">
        <v>2</v>
      </c>
      <c r="AI58" s="33">
        <v>19</v>
      </c>
      <c r="AJ58" s="192"/>
      <c r="AK58" s="67"/>
      <c r="AL58" s="54"/>
      <c r="AM58" s="54"/>
      <c r="AN58" s="54"/>
      <c r="AP58" s="127">
        <v>80</v>
      </c>
      <c r="AQ58" s="57">
        <f>D58*AP58</f>
        <v>0</v>
      </c>
      <c r="AS58" s="39" t="b">
        <f t="shared" si="27"/>
        <v>0</v>
      </c>
    </row>
    <row r="59" spans="2:45" s="5" customFormat="1" ht="14.25" customHeight="1" x14ac:dyDescent="0.25">
      <c r="B59" s="158" t="s">
        <v>78</v>
      </c>
      <c r="C59" s="35" t="s">
        <v>234</v>
      </c>
      <c r="D59" s="10"/>
      <c r="E59" s="10"/>
      <c r="F59" s="45">
        <f t="shared" si="0"/>
        <v>0</v>
      </c>
      <c r="G59" s="27"/>
      <c r="H59" s="62"/>
      <c r="I59" s="62"/>
      <c r="J59" s="64"/>
      <c r="K59" s="65"/>
      <c r="L59" s="62"/>
      <c r="M59" s="60"/>
      <c r="N59" s="61"/>
      <c r="O59" s="62"/>
      <c r="P59" s="63"/>
      <c r="Q59" s="165">
        <f t="shared" si="12"/>
        <v>0</v>
      </c>
      <c r="R59" s="165">
        <f t="shared" si="13"/>
        <v>0</v>
      </c>
      <c r="S59" s="165">
        <f t="shared" si="14"/>
        <v>0</v>
      </c>
      <c r="U59" s="163">
        <f t="shared" si="21"/>
        <v>0</v>
      </c>
      <c r="V59" s="163">
        <f t="shared" si="22"/>
        <v>0</v>
      </c>
      <c r="W59" s="163">
        <f t="shared" si="23"/>
        <v>0</v>
      </c>
      <c r="X59" s="163">
        <f t="shared" si="24"/>
        <v>0</v>
      </c>
      <c r="Y59" s="163">
        <f t="shared" si="25"/>
        <v>0</v>
      </c>
      <c r="Z59" s="163">
        <f t="shared" si="26"/>
        <v>0</v>
      </c>
      <c r="AA59" s="163">
        <f t="shared" si="15"/>
        <v>0</v>
      </c>
      <c r="AB59" s="163">
        <f t="shared" si="15"/>
        <v>0</v>
      </c>
      <c r="AC59" s="163">
        <f t="shared" si="15"/>
        <v>0</v>
      </c>
      <c r="AE59" s="87" t="s">
        <v>136</v>
      </c>
      <c r="AF59" s="55">
        <v>0.85</v>
      </c>
      <c r="AG59" s="33">
        <v>21.1</v>
      </c>
      <c r="AH59" s="33">
        <v>2.8</v>
      </c>
      <c r="AI59" s="33">
        <v>19.8</v>
      </c>
      <c r="AJ59" s="192"/>
      <c r="AK59" s="67"/>
      <c r="AL59" s="54"/>
      <c r="AM59" s="54"/>
      <c r="AN59" s="54"/>
      <c r="AP59" s="127">
        <v>80</v>
      </c>
      <c r="AQ59" s="57">
        <f>D59*AP59</f>
        <v>0</v>
      </c>
      <c r="AS59" s="39" t="b">
        <f t="shared" si="27"/>
        <v>0</v>
      </c>
    </row>
    <row r="60" spans="2:45" s="5" customFormat="1" ht="14.25" customHeight="1" x14ac:dyDescent="0.25">
      <c r="B60" s="158" t="s">
        <v>79</v>
      </c>
      <c r="C60" s="35" t="s">
        <v>234</v>
      </c>
      <c r="D60" s="10"/>
      <c r="E60" s="10"/>
      <c r="F60" s="45">
        <f t="shared" si="0"/>
        <v>0</v>
      </c>
      <c r="G60" s="27"/>
      <c r="H60" s="62"/>
      <c r="I60" s="62"/>
      <c r="J60" s="64"/>
      <c r="K60" s="65"/>
      <c r="L60" s="62"/>
      <c r="M60" s="60"/>
      <c r="N60" s="61"/>
      <c r="O60" s="62"/>
      <c r="P60" s="63"/>
      <c r="Q60" s="165">
        <f t="shared" si="12"/>
        <v>0</v>
      </c>
      <c r="R60" s="165">
        <f t="shared" si="13"/>
        <v>0</v>
      </c>
      <c r="S60" s="165">
        <f t="shared" si="14"/>
        <v>0</v>
      </c>
      <c r="U60" s="163">
        <f t="shared" si="21"/>
        <v>0</v>
      </c>
      <c r="V60" s="163">
        <f t="shared" si="22"/>
        <v>0</v>
      </c>
      <c r="W60" s="163">
        <f t="shared" si="23"/>
        <v>0</v>
      </c>
      <c r="X60" s="163">
        <f t="shared" si="24"/>
        <v>0</v>
      </c>
      <c r="Y60" s="163">
        <f t="shared" si="25"/>
        <v>0</v>
      </c>
      <c r="Z60" s="163">
        <f t="shared" si="26"/>
        <v>0</v>
      </c>
      <c r="AA60" s="163">
        <f t="shared" si="15"/>
        <v>0</v>
      </c>
      <c r="AB60" s="163">
        <f t="shared" si="15"/>
        <v>0</v>
      </c>
      <c r="AC60" s="163">
        <f t="shared" si="15"/>
        <v>0</v>
      </c>
      <c r="AE60" s="51" t="s">
        <v>136</v>
      </c>
      <c r="AF60" s="55">
        <v>0.85</v>
      </c>
      <c r="AG60" s="33">
        <v>20.399999999999999</v>
      </c>
      <c r="AH60" s="33">
        <v>3</v>
      </c>
      <c r="AI60" s="33">
        <v>23</v>
      </c>
      <c r="AJ60" s="192"/>
      <c r="AK60" s="67"/>
      <c r="AL60" s="54"/>
      <c r="AM60" s="54"/>
      <c r="AN60" s="54"/>
      <c r="AP60" s="127">
        <v>80</v>
      </c>
      <c r="AQ60" s="57">
        <f>D60*AP60</f>
        <v>0</v>
      </c>
      <c r="AS60" s="39" t="b">
        <f t="shared" si="27"/>
        <v>0</v>
      </c>
    </row>
    <row r="61" spans="2:45" s="5" customFormat="1" ht="14.25" customHeight="1" x14ac:dyDescent="0.25">
      <c r="B61" s="158" t="s">
        <v>186</v>
      </c>
      <c r="C61" s="35" t="s">
        <v>234</v>
      </c>
      <c r="D61" s="10"/>
      <c r="E61" s="10"/>
      <c r="F61" s="45">
        <f t="shared" si="0"/>
        <v>0</v>
      </c>
      <c r="G61" s="27"/>
      <c r="H61" s="62"/>
      <c r="I61" s="62"/>
      <c r="J61" s="64"/>
      <c r="K61" s="65"/>
      <c r="L61" s="62"/>
      <c r="M61" s="60"/>
      <c r="N61" s="61"/>
      <c r="O61" s="62"/>
      <c r="P61" s="63"/>
      <c r="Q61" s="165">
        <f t="shared" si="12"/>
        <v>0</v>
      </c>
      <c r="R61" s="165">
        <f t="shared" si="13"/>
        <v>0</v>
      </c>
      <c r="S61" s="165">
        <f t="shared" si="14"/>
        <v>0</v>
      </c>
      <c r="U61" s="163">
        <f t="shared" si="21"/>
        <v>0</v>
      </c>
      <c r="V61" s="163">
        <f t="shared" si="22"/>
        <v>0</v>
      </c>
      <c r="W61" s="163">
        <f t="shared" si="23"/>
        <v>0</v>
      </c>
      <c r="X61" s="163">
        <f t="shared" si="24"/>
        <v>0</v>
      </c>
      <c r="Y61" s="163">
        <f t="shared" si="25"/>
        <v>0</v>
      </c>
      <c r="Z61" s="163">
        <f t="shared" si="26"/>
        <v>0</v>
      </c>
      <c r="AA61" s="163">
        <f t="shared" si="15"/>
        <v>0</v>
      </c>
      <c r="AB61" s="163">
        <f t="shared" si="15"/>
        <v>0</v>
      </c>
      <c r="AC61" s="163">
        <f t="shared" si="15"/>
        <v>0</v>
      </c>
      <c r="AE61" s="51" t="s">
        <v>136</v>
      </c>
      <c r="AF61" s="55">
        <v>0.85</v>
      </c>
      <c r="AG61" s="33">
        <v>21.7</v>
      </c>
      <c r="AH61" s="33">
        <v>2.6</v>
      </c>
      <c r="AI61" s="33">
        <v>20.8</v>
      </c>
      <c r="AJ61" s="192"/>
      <c r="AK61" s="67"/>
      <c r="AL61" s="54"/>
      <c r="AM61" s="54"/>
      <c r="AN61" s="54"/>
      <c r="AP61" s="68"/>
      <c r="AQ61" s="68"/>
      <c r="AS61" s="39" t="b">
        <f t="shared" si="27"/>
        <v>0</v>
      </c>
    </row>
    <row r="62" spans="2:45" s="5" customFormat="1" ht="14.25" customHeight="1" x14ac:dyDescent="0.25">
      <c r="B62" s="159" t="s">
        <v>147</v>
      </c>
      <c r="C62" s="36"/>
      <c r="D62" s="10"/>
      <c r="E62" s="10"/>
      <c r="F62" s="45">
        <f t="shared" si="0"/>
        <v>0</v>
      </c>
      <c r="G62" s="27"/>
      <c r="H62" s="9"/>
      <c r="I62" s="46">
        <f>IF(L62=0,IF(F62=0,G62*K62*H62,F62*K62*H62),0)</f>
        <v>0</v>
      </c>
      <c r="J62" s="47" t="s">
        <v>169</v>
      </c>
      <c r="K62" s="48">
        <v>8</v>
      </c>
      <c r="L62" s="9"/>
      <c r="M62" s="47" t="s">
        <v>272</v>
      </c>
      <c r="N62" s="48" t="str">
        <f>IF(H62=0,"",IF(F62+G62=0,"",IF(L62=0,0,IF(G62=0,(L62/H62)/F62,(L62/H62)/G62))))</f>
        <v/>
      </c>
      <c r="O62" s="49">
        <f>D62-H62</f>
        <v>0</v>
      </c>
      <c r="P62" s="50" t="str">
        <f>IF(O62&lt;0,"!",IF(AS62=TRUE,"!",""))</f>
        <v/>
      </c>
      <c r="Q62" s="165">
        <f t="shared" si="12"/>
        <v>0</v>
      </c>
      <c r="R62" s="165">
        <f t="shared" si="13"/>
        <v>0</v>
      </c>
      <c r="S62" s="165">
        <f t="shared" si="14"/>
        <v>0</v>
      </c>
      <c r="U62" s="163">
        <f t="shared" si="21"/>
        <v>0</v>
      </c>
      <c r="V62" s="163">
        <f t="shared" si="22"/>
        <v>0</v>
      </c>
      <c r="W62" s="163">
        <f t="shared" si="23"/>
        <v>0</v>
      </c>
      <c r="X62" s="163">
        <f t="shared" si="24"/>
        <v>0</v>
      </c>
      <c r="Y62" s="163">
        <f t="shared" si="25"/>
        <v>0</v>
      </c>
      <c r="Z62" s="163">
        <f t="shared" si="26"/>
        <v>0</v>
      </c>
      <c r="AA62" s="163">
        <f t="shared" si="15"/>
        <v>0</v>
      </c>
      <c r="AB62" s="163">
        <f t="shared" si="15"/>
        <v>0</v>
      </c>
      <c r="AC62" s="163">
        <f t="shared" si="15"/>
        <v>0</v>
      </c>
      <c r="AE62" s="51" t="s">
        <v>141</v>
      </c>
      <c r="AF62" s="55">
        <v>0.91</v>
      </c>
      <c r="AG62" s="33">
        <v>23.4</v>
      </c>
      <c r="AH62" s="33">
        <v>3.6</v>
      </c>
      <c r="AI62" s="33">
        <v>5.8</v>
      </c>
      <c r="AJ62" s="191" t="s">
        <v>145</v>
      </c>
      <c r="AK62" s="56">
        <v>0.91</v>
      </c>
      <c r="AL62" s="53">
        <v>15.8</v>
      </c>
      <c r="AM62" s="53">
        <v>1.4</v>
      </c>
      <c r="AN62" s="53">
        <v>22.8</v>
      </c>
      <c r="AP62" s="68"/>
      <c r="AQ62" s="68"/>
      <c r="AS62" s="39" t="b">
        <f t="shared" si="27"/>
        <v>0</v>
      </c>
    </row>
    <row r="63" spans="2:45" s="5" customFormat="1" ht="14.25" customHeight="1" x14ac:dyDescent="0.25">
      <c r="B63" s="158" t="s">
        <v>63</v>
      </c>
      <c r="C63" s="36"/>
      <c r="D63" s="10"/>
      <c r="E63" s="10"/>
      <c r="F63" s="45">
        <f t="shared" si="0"/>
        <v>0</v>
      </c>
      <c r="G63" s="27"/>
      <c r="H63" s="58"/>
      <c r="I63" s="58"/>
      <c r="J63" s="64"/>
      <c r="K63" s="65"/>
      <c r="L63" s="58"/>
      <c r="M63" s="60"/>
      <c r="N63" s="61"/>
      <c r="O63" s="62"/>
      <c r="P63" s="63"/>
      <c r="Q63" s="165">
        <f t="shared" si="12"/>
        <v>0</v>
      </c>
      <c r="R63" s="165">
        <f t="shared" si="13"/>
        <v>0</v>
      </c>
      <c r="S63" s="165">
        <f t="shared" si="14"/>
        <v>0</v>
      </c>
      <c r="U63" s="163">
        <f t="shared" si="21"/>
        <v>0</v>
      </c>
      <c r="V63" s="163">
        <f t="shared" si="22"/>
        <v>0</v>
      </c>
      <c r="W63" s="163">
        <f t="shared" si="23"/>
        <v>0</v>
      </c>
      <c r="X63" s="163">
        <f t="shared" si="24"/>
        <v>0</v>
      </c>
      <c r="Y63" s="163">
        <f t="shared" si="25"/>
        <v>0</v>
      </c>
      <c r="Z63" s="163">
        <f t="shared" si="26"/>
        <v>0</v>
      </c>
      <c r="AA63" s="163">
        <f t="shared" si="15"/>
        <v>0</v>
      </c>
      <c r="AB63" s="163">
        <f t="shared" si="15"/>
        <v>0</v>
      </c>
      <c r="AC63" s="163">
        <f t="shared" si="15"/>
        <v>0</v>
      </c>
      <c r="AE63" s="51"/>
      <c r="AF63" s="55"/>
      <c r="AG63" s="33">
        <v>3</v>
      </c>
      <c r="AH63" s="33">
        <v>0.9</v>
      </c>
      <c r="AI63" s="33">
        <v>5</v>
      </c>
      <c r="AJ63" s="193"/>
      <c r="AK63" s="67"/>
      <c r="AL63" s="54"/>
      <c r="AM63" s="54"/>
      <c r="AN63" s="54"/>
      <c r="AP63" s="68"/>
      <c r="AQ63" s="68"/>
      <c r="AS63" s="39" t="b">
        <f t="shared" si="27"/>
        <v>0</v>
      </c>
    </row>
    <row r="64" spans="2:45" s="5" customFormat="1" ht="14.25" customHeight="1" x14ac:dyDescent="0.25">
      <c r="B64" s="158" t="s">
        <v>67</v>
      </c>
      <c r="C64" s="36"/>
      <c r="D64" s="10"/>
      <c r="E64" s="10"/>
      <c r="F64" s="45">
        <f t="shared" si="0"/>
        <v>0</v>
      </c>
      <c r="G64" s="27"/>
      <c r="H64" s="58"/>
      <c r="I64" s="58"/>
      <c r="J64" s="64"/>
      <c r="K64" s="65"/>
      <c r="L64" s="58"/>
      <c r="M64" s="60"/>
      <c r="N64" s="61"/>
      <c r="O64" s="62"/>
      <c r="P64" s="63"/>
      <c r="Q64" s="165">
        <f t="shared" si="12"/>
        <v>0</v>
      </c>
      <c r="R64" s="165">
        <f t="shared" si="13"/>
        <v>0</v>
      </c>
      <c r="S64" s="165">
        <f t="shared" si="14"/>
        <v>0</v>
      </c>
      <c r="U64" s="163">
        <f t="shared" si="21"/>
        <v>0</v>
      </c>
      <c r="V64" s="163">
        <f t="shared" si="22"/>
        <v>0</v>
      </c>
      <c r="W64" s="163">
        <f t="shared" si="23"/>
        <v>0</v>
      </c>
      <c r="X64" s="163">
        <f t="shared" si="24"/>
        <v>0</v>
      </c>
      <c r="Y64" s="163">
        <f t="shared" si="25"/>
        <v>0</v>
      </c>
      <c r="Z64" s="163">
        <f t="shared" si="26"/>
        <v>0</v>
      </c>
      <c r="AA64" s="163">
        <f t="shared" si="15"/>
        <v>0</v>
      </c>
      <c r="AB64" s="163">
        <f t="shared" si="15"/>
        <v>0</v>
      </c>
      <c r="AC64" s="163">
        <f t="shared" si="15"/>
        <v>0</v>
      </c>
      <c r="AE64" s="51"/>
      <c r="AF64" s="55"/>
      <c r="AG64" s="33">
        <v>2</v>
      </c>
      <c r="AH64" s="33">
        <v>0.4</v>
      </c>
      <c r="AI64" s="33">
        <v>3.7</v>
      </c>
      <c r="AJ64" s="193"/>
      <c r="AK64" s="67"/>
      <c r="AL64" s="54"/>
      <c r="AM64" s="54"/>
      <c r="AN64" s="54"/>
      <c r="AP64" s="68"/>
      <c r="AQ64" s="68"/>
      <c r="AS64" s="39" t="b">
        <f t="shared" si="27"/>
        <v>0</v>
      </c>
    </row>
    <row r="65" spans="2:45" s="5" customFormat="1" ht="14.25" customHeight="1" x14ac:dyDescent="0.25">
      <c r="B65" s="158" t="s">
        <v>70</v>
      </c>
      <c r="C65" s="36"/>
      <c r="D65" s="10"/>
      <c r="E65" s="10"/>
      <c r="F65" s="45">
        <f t="shared" si="0"/>
        <v>0</v>
      </c>
      <c r="G65" s="27"/>
      <c r="H65" s="58"/>
      <c r="I65" s="58"/>
      <c r="J65" s="64"/>
      <c r="K65" s="65"/>
      <c r="L65" s="58"/>
      <c r="M65" s="60"/>
      <c r="N65" s="61"/>
      <c r="O65" s="62"/>
      <c r="P65" s="63"/>
      <c r="Q65" s="165">
        <f t="shared" si="12"/>
        <v>0</v>
      </c>
      <c r="R65" s="165">
        <f t="shared" si="13"/>
        <v>0</v>
      </c>
      <c r="S65" s="165">
        <f t="shared" si="14"/>
        <v>0</v>
      </c>
      <c r="U65" s="163">
        <f t="shared" si="21"/>
        <v>0</v>
      </c>
      <c r="V65" s="163">
        <f t="shared" si="22"/>
        <v>0</v>
      </c>
      <c r="W65" s="163">
        <f t="shared" si="23"/>
        <v>0</v>
      </c>
      <c r="X65" s="163">
        <f t="shared" si="24"/>
        <v>0</v>
      </c>
      <c r="Y65" s="163">
        <f t="shared" si="25"/>
        <v>0</v>
      </c>
      <c r="Z65" s="163">
        <f t="shared" si="26"/>
        <v>0</v>
      </c>
      <c r="AA65" s="163">
        <f t="shared" si="15"/>
        <v>0</v>
      </c>
      <c r="AB65" s="163">
        <f t="shared" si="15"/>
        <v>0</v>
      </c>
      <c r="AC65" s="163">
        <f t="shared" si="15"/>
        <v>0</v>
      </c>
      <c r="AE65" s="51"/>
      <c r="AF65" s="55"/>
      <c r="AG65" s="33">
        <v>3</v>
      </c>
      <c r="AH65" s="33">
        <v>0.7</v>
      </c>
      <c r="AI65" s="33">
        <v>4.2</v>
      </c>
      <c r="AJ65" s="193"/>
      <c r="AK65" s="67"/>
      <c r="AL65" s="54"/>
      <c r="AM65" s="54"/>
      <c r="AN65" s="54"/>
      <c r="AP65" s="68"/>
      <c r="AQ65" s="68"/>
      <c r="AS65" s="39" t="b">
        <f t="shared" si="27"/>
        <v>0</v>
      </c>
    </row>
    <row r="66" spans="2:45" s="5" customFormat="1" ht="14.25" customHeight="1" x14ac:dyDescent="0.25">
      <c r="B66" s="158" t="s">
        <v>62</v>
      </c>
      <c r="C66" s="36"/>
      <c r="D66" s="10"/>
      <c r="E66" s="10"/>
      <c r="F66" s="45">
        <f t="shared" si="0"/>
        <v>0</v>
      </c>
      <c r="G66" s="27"/>
      <c r="H66" s="58"/>
      <c r="I66" s="58"/>
      <c r="J66" s="64"/>
      <c r="K66" s="65"/>
      <c r="L66" s="58"/>
      <c r="M66" s="60"/>
      <c r="N66" s="61"/>
      <c r="O66" s="62"/>
      <c r="P66" s="63"/>
      <c r="Q66" s="165">
        <f t="shared" si="12"/>
        <v>0</v>
      </c>
      <c r="R66" s="165">
        <f t="shared" si="13"/>
        <v>0</v>
      </c>
      <c r="S66" s="165">
        <f t="shared" si="14"/>
        <v>0</v>
      </c>
      <c r="U66" s="163">
        <f t="shared" si="21"/>
        <v>0</v>
      </c>
      <c r="V66" s="163">
        <f t="shared" si="22"/>
        <v>0</v>
      </c>
      <c r="W66" s="163">
        <f t="shared" si="23"/>
        <v>0</v>
      </c>
      <c r="X66" s="163">
        <f t="shared" si="24"/>
        <v>0</v>
      </c>
      <c r="Y66" s="163">
        <f t="shared" si="25"/>
        <v>0</v>
      </c>
      <c r="Z66" s="163">
        <f t="shared" si="26"/>
        <v>0</v>
      </c>
      <c r="AA66" s="163">
        <f t="shared" si="15"/>
        <v>0</v>
      </c>
      <c r="AB66" s="163">
        <f t="shared" si="15"/>
        <v>0</v>
      </c>
      <c r="AC66" s="163">
        <f t="shared" si="15"/>
        <v>0</v>
      </c>
      <c r="AE66" s="51"/>
      <c r="AF66" s="55"/>
      <c r="AG66" s="33">
        <v>2</v>
      </c>
      <c r="AH66" s="33">
        <v>0.4</v>
      </c>
      <c r="AI66" s="33">
        <v>1.7</v>
      </c>
      <c r="AJ66" s="193"/>
      <c r="AK66" s="67"/>
      <c r="AL66" s="54"/>
      <c r="AM66" s="54"/>
      <c r="AN66" s="54"/>
      <c r="AP66" s="68"/>
      <c r="AQ66" s="68"/>
      <c r="AS66" s="39" t="b">
        <f t="shared" si="27"/>
        <v>0</v>
      </c>
    </row>
    <row r="67" spans="2:45" s="5" customFormat="1" ht="14.25" customHeight="1" x14ac:dyDescent="0.25">
      <c r="B67" s="158" t="s">
        <v>65</v>
      </c>
      <c r="C67" s="36"/>
      <c r="D67" s="10"/>
      <c r="E67" s="10"/>
      <c r="F67" s="45">
        <f t="shared" si="0"/>
        <v>0</v>
      </c>
      <c r="G67" s="27"/>
      <c r="H67" s="58"/>
      <c r="I67" s="58"/>
      <c r="J67" s="64"/>
      <c r="K67" s="65"/>
      <c r="L67" s="58"/>
      <c r="M67" s="60"/>
      <c r="N67" s="61"/>
      <c r="O67" s="62"/>
      <c r="P67" s="63"/>
      <c r="Q67" s="165">
        <f t="shared" si="12"/>
        <v>0</v>
      </c>
      <c r="R67" s="165">
        <f t="shared" si="13"/>
        <v>0</v>
      </c>
      <c r="S67" s="165">
        <f t="shared" si="14"/>
        <v>0</v>
      </c>
      <c r="U67" s="163">
        <f t="shared" si="21"/>
        <v>0</v>
      </c>
      <c r="V67" s="163">
        <f t="shared" si="22"/>
        <v>0</v>
      </c>
      <c r="W67" s="163">
        <f t="shared" si="23"/>
        <v>0</v>
      </c>
      <c r="X67" s="163">
        <f t="shared" si="24"/>
        <v>0</v>
      </c>
      <c r="Y67" s="163">
        <f t="shared" si="25"/>
        <v>0</v>
      </c>
      <c r="Z67" s="163">
        <f t="shared" si="26"/>
        <v>0</v>
      </c>
      <c r="AA67" s="163">
        <f t="shared" si="15"/>
        <v>0</v>
      </c>
      <c r="AB67" s="163">
        <f t="shared" si="15"/>
        <v>0</v>
      </c>
      <c r="AC67" s="163">
        <f t="shared" si="15"/>
        <v>0</v>
      </c>
      <c r="AE67" s="51"/>
      <c r="AF67" s="55"/>
      <c r="AG67" s="33">
        <v>3</v>
      </c>
      <c r="AH67" s="33">
        <v>0.4</v>
      </c>
      <c r="AI67" s="33">
        <v>3.7</v>
      </c>
      <c r="AJ67" s="193"/>
      <c r="AK67" s="67"/>
      <c r="AL67" s="54"/>
      <c r="AM67" s="54"/>
      <c r="AN67" s="54"/>
      <c r="AP67" s="68"/>
      <c r="AQ67" s="68"/>
      <c r="AS67" s="39" t="b">
        <f t="shared" si="27"/>
        <v>0</v>
      </c>
    </row>
    <row r="68" spans="2:45" s="5" customFormat="1" ht="14.25" customHeight="1" x14ac:dyDescent="0.25">
      <c r="B68" s="158" t="s">
        <v>64</v>
      </c>
      <c r="C68" s="36"/>
      <c r="D68" s="10"/>
      <c r="E68" s="10"/>
      <c r="F68" s="45">
        <f t="shared" si="0"/>
        <v>0</v>
      </c>
      <c r="G68" s="27"/>
      <c r="H68" s="58"/>
      <c r="I68" s="58"/>
      <c r="J68" s="64"/>
      <c r="K68" s="65"/>
      <c r="L68" s="58"/>
      <c r="M68" s="60"/>
      <c r="N68" s="61"/>
      <c r="O68" s="62"/>
      <c r="P68" s="63"/>
      <c r="Q68" s="165">
        <f t="shared" si="12"/>
        <v>0</v>
      </c>
      <c r="R68" s="165">
        <f t="shared" si="13"/>
        <v>0</v>
      </c>
      <c r="S68" s="165">
        <f t="shared" si="14"/>
        <v>0</v>
      </c>
      <c r="U68" s="163">
        <f t="shared" si="21"/>
        <v>0</v>
      </c>
      <c r="V68" s="163">
        <f t="shared" si="22"/>
        <v>0</v>
      </c>
      <c r="W68" s="163">
        <f t="shared" si="23"/>
        <v>0</v>
      </c>
      <c r="X68" s="163">
        <f t="shared" si="24"/>
        <v>0</v>
      </c>
      <c r="Y68" s="163">
        <f t="shared" si="25"/>
        <v>0</v>
      </c>
      <c r="Z68" s="163">
        <f t="shared" si="26"/>
        <v>0</v>
      </c>
      <c r="AA68" s="163">
        <f t="shared" si="15"/>
        <v>0</v>
      </c>
      <c r="AB68" s="163">
        <f t="shared" si="15"/>
        <v>0</v>
      </c>
      <c r="AC68" s="163">
        <f t="shared" si="15"/>
        <v>0</v>
      </c>
      <c r="AE68" s="51"/>
      <c r="AF68" s="55"/>
      <c r="AG68" s="33">
        <v>3.5</v>
      </c>
      <c r="AH68" s="33">
        <v>0.5</v>
      </c>
      <c r="AI68" s="33">
        <v>3.3</v>
      </c>
      <c r="AJ68" s="193"/>
      <c r="AK68" s="67"/>
      <c r="AL68" s="54"/>
      <c r="AM68" s="54"/>
      <c r="AN68" s="54"/>
      <c r="AP68" s="68"/>
      <c r="AQ68" s="68"/>
      <c r="AS68" s="39" t="b">
        <f t="shared" si="27"/>
        <v>0</v>
      </c>
    </row>
    <row r="69" spans="2:45" s="5" customFormat="1" ht="14.25" customHeight="1" x14ac:dyDescent="0.25">
      <c r="B69" s="158" t="s">
        <v>66</v>
      </c>
      <c r="C69" s="36"/>
      <c r="D69" s="10"/>
      <c r="E69" s="10"/>
      <c r="F69" s="45">
        <f t="shared" si="0"/>
        <v>0</v>
      </c>
      <c r="G69" s="27"/>
      <c r="H69" s="58"/>
      <c r="I69" s="58"/>
      <c r="J69" s="64"/>
      <c r="K69" s="65"/>
      <c r="L69" s="58"/>
      <c r="M69" s="60"/>
      <c r="N69" s="61"/>
      <c r="O69" s="62"/>
      <c r="P69" s="63"/>
      <c r="Q69" s="165">
        <f t="shared" si="12"/>
        <v>0</v>
      </c>
      <c r="R69" s="165">
        <f t="shared" si="13"/>
        <v>0</v>
      </c>
      <c r="S69" s="165">
        <f t="shared" si="14"/>
        <v>0</v>
      </c>
      <c r="U69" s="163">
        <f t="shared" si="21"/>
        <v>0</v>
      </c>
      <c r="V69" s="163">
        <f t="shared" si="22"/>
        <v>0</v>
      </c>
      <c r="W69" s="163">
        <f t="shared" si="23"/>
        <v>0</v>
      </c>
      <c r="X69" s="163">
        <f t="shared" si="24"/>
        <v>0</v>
      </c>
      <c r="Y69" s="163">
        <f t="shared" si="25"/>
        <v>0</v>
      </c>
      <c r="Z69" s="163">
        <f t="shared" si="26"/>
        <v>0</v>
      </c>
      <c r="AA69" s="163">
        <f t="shared" si="15"/>
        <v>0</v>
      </c>
      <c r="AB69" s="163">
        <f t="shared" si="15"/>
        <v>0</v>
      </c>
      <c r="AC69" s="163">
        <f t="shared" si="15"/>
        <v>0</v>
      </c>
      <c r="AE69" s="51"/>
      <c r="AF69" s="55"/>
      <c r="AG69" s="33">
        <v>3.5</v>
      </c>
      <c r="AH69" s="33">
        <v>0.5</v>
      </c>
      <c r="AI69" s="33">
        <v>3.3</v>
      </c>
      <c r="AJ69" s="193"/>
      <c r="AK69" s="67"/>
      <c r="AL69" s="54"/>
      <c r="AM69" s="54"/>
      <c r="AN69" s="54"/>
      <c r="AP69" s="68"/>
      <c r="AQ69" s="68"/>
      <c r="AS69" s="39" t="b">
        <f t="shared" si="27"/>
        <v>0</v>
      </c>
    </row>
    <row r="70" spans="2:45" s="5" customFormat="1" ht="14.25" customHeight="1" x14ac:dyDescent="0.25">
      <c r="B70" s="158" t="s">
        <v>72</v>
      </c>
      <c r="C70" s="36"/>
      <c r="D70" s="10"/>
      <c r="E70" s="10"/>
      <c r="F70" s="45">
        <f t="shared" si="0"/>
        <v>0</v>
      </c>
      <c r="G70" s="27"/>
      <c r="H70" s="58"/>
      <c r="I70" s="58"/>
      <c r="J70" s="64"/>
      <c r="K70" s="65"/>
      <c r="L70" s="58"/>
      <c r="M70" s="60"/>
      <c r="N70" s="61"/>
      <c r="O70" s="62"/>
      <c r="P70" s="63"/>
      <c r="Q70" s="165">
        <f t="shared" si="12"/>
        <v>0</v>
      </c>
      <c r="R70" s="165">
        <f t="shared" si="13"/>
        <v>0</v>
      </c>
      <c r="S70" s="165">
        <f t="shared" si="14"/>
        <v>0</v>
      </c>
      <c r="U70" s="163">
        <f t="shared" si="21"/>
        <v>0</v>
      </c>
      <c r="V70" s="163">
        <f t="shared" si="22"/>
        <v>0</v>
      </c>
      <c r="W70" s="163">
        <f t="shared" si="23"/>
        <v>0</v>
      </c>
      <c r="X70" s="163">
        <f t="shared" si="24"/>
        <v>0</v>
      </c>
      <c r="Y70" s="163">
        <f t="shared" si="25"/>
        <v>0</v>
      </c>
      <c r="Z70" s="163">
        <f t="shared" si="26"/>
        <v>0</v>
      </c>
      <c r="AA70" s="163">
        <f t="shared" si="15"/>
        <v>0</v>
      </c>
      <c r="AB70" s="163">
        <f t="shared" si="15"/>
        <v>0</v>
      </c>
      <c r="AC70" s="163">
        <f t="shared" si="15"/>
        <v>0</v>
      </c>
      <c r="AE70" s="51"/>
      <c r="AF70" s="55"/>
      <c r="AG70" s="33">
        <v>3</v>
      </c>
      <c r="AH70" s="33">
        <v>0.4</v>
      </c>
      <c r="AI70" s="33">
        <v>2.7</v>
      </c>
      <c r="AJ70" s="193"/>
      <c r="AK70" s="67"/>
      <c r="AL70" s="54"/>
      <c r="AM70" s="54"/>
      <c r="AN70" s="54"/>
      <c r="AP70" s="68"/>
      <c r="AQ70" s="68"/>
      <c r="AS70" s="39" t="b">
        <f t="shared" si="27"/>
        <v>0</v>
      </c>
    </row>
    <row r="71" spans="2:45" s="5" customFormat="1" ht="14.25" customHeight="1" x14ac:dyDescent="0.25">
      <c r="B71" s="158" t="s">
        <v>68</v>
      </c>
      <c r="C71" s="36"/>
      <c r="D71" s="10"/>
      <c r="E71" s="10"/>
      <c r="F71" s="45">
        <f t="shared" si="0"/>
        <v>0</v>
      </c>
      <c r="G71" s="27"/>
      <c r="H71" s="58"/>
      <c r="I71" s="58"/>
      <c r="J71" s="64"/>
      <c r="K71" s="65"/>
      <c r="L71" s="58"/>
      <c r="M71" s="60"/>
      <c r="N71" s="61"/>
      <c r="O71" s="62"/>
      <c r="P71" s="63"/>
      <c r="Q71" s="165">
        <f t="shared" si="12"/>
        <v>0</v>
      </c>
      <c r="R71" s="165">
        <f t="shared" si="13"/>
        <v>0</v>
      </c>
      <c r="S71" s="165">
        <f t="shared" si="14"/>
        <v>0</v>
      </c>
      <c r="U71" s="163">
        <f t="shared" si="21"/>
        <v>0</v>
      </c>
      <c r="V71" s="163">
        <f t="shared" si="22"/>
        <v>0</v>
      </c>
      <c r="W71" s="163">
        <f t="shared" si="23"/>
        <v>0</v>
      </c>
      <c r="X71" s="163">
        <f t="shared" si="24"/>
        <v>0</v>
      </c>
      <c r="Y71" s="163">
        <f t="shared" si="25"/>
        <v>0</v>
      </c>
      <c r="Z71" s="163">
        <f t="shared" si="26"/>
        <v>0</v>
      </c>
      <c r="AA71" s="163">
        <f t="shared" si="15"/>
        <v>0</v>
      </c>
      <c r="AB71" s="163">
        <f t="shared" si="15"/>
        <v>0</v>
      </c>
      <c r="AC71" s="163">
        <f t="shared" si="15"/>
        <v>0</v>
      </c>
      <c r="AE71" s="51"/>
      <c r="AF71" s="55"/>
      <c r="AG71" s="33">
        <v>2</v>
      </c>
      <c r="AH71" s="33">
        <v>0.4</v>
      </c>
      <c r="AI71" s="33">
        <v>4.2</v>
      </c>
      <c r="AJ71" s="193"/>
      <c r="AK71" s="67"/>
      <c r="AL71" s="54"/>
      <c r="AM71" s="54"/>
      <c r="AN71" s="54"/>
      <c r="AP71" s="68"/>
      <c r="AQ71" s="68"/>
      <c r="AS71" s="39" t="b">
        <f t="shared" si="27"/>
        <v>0</v>
      </c>
    </row>
    <row r="72" spans="2:45" s="5" customFormat="1" ht="14.25" customHeight="1" x14ac:dyDescent="0.25">
      <c r="B72" s="158" t="s">
        <v>69</v>
      </c>
      <c r="C72" s="36"/>
      <c r="D72" s="10"/>
      <c r="E72" s="10"/>
      <c r="F72" s="45">
        <f t="shared" si="0"/>
        <v>0</v>
      </c>
      <c r="G72" s="27"/>
      <c r="H72" s="58"/>
      <c r="I72" s="58"/>
      <c r="J72" s="64"/>
      <c r="K72" s="65"/>
      <c r="L72" s="58"/>
      <c r="M72" s="60"/>
      <c r="N72" s="61"/>
      <c r="O72" s="62"/>
      <c r="P72" s="63"/>
      <c r="Q72" s="165">
        <f t="shared" si="12"/>
        <v>0</v>
      </c>
      <c r="R72" s="165">
        <f t="shared" si="13"/>
        <v>0</v>
      </c>
      <c r="S72" s="165">
        <f t="shared" si="14"/>
        <v>0</v>
      </c>
      <c r="U72" s="163">
        <f t="shared" ref="U72:U78" si="28">IF($G72=0,$F72*$D72*AG72,$G72*$D72*AG72)</f>
        <v>0</v>
      </c>
      <c r="V72" s="163">
        <f t="shared" ref="V72:V78" si="29">IF($G72=0,$F72*$D72*AH72,$G72*$D72*AH72)</f>
        <v>0</v>
      </c>
      <c r="W72" s="163">
        <f t="shared" ref="W72:W78" si="30">IF($G72=0,$F72*$D72*AI72,$G72*$D72*AI72)</f>
        <v>0</v>
      </c>
      <c r="X72" s="163">
        <f t="shared" ref="X72:X78" si="31">IF($L72=0,$I72*AL72,$L72*AL72)</f>
        <v>0</v>
      </c>
      <c r="Y72" s="163">
        <f t="shared" ref="Y72:Y78" si="32">IF($L72=0,$I72*AM72,$L72*AM72)</f>
        <v>0</v>
      </c>
      <c r="Z72" s="163">
        <f t="shared" ref="Z72:Z78" si="33">IF($L72=0,$I72*AN72,$L72*AN72)</f>
        <v>0</v>
      </c>
      <c r="AA72" s="163">
        <f t="shared" si="15"/>
        <v>0</v>
      </c>
      <c r="AB72" s="163">
        <f t="shared" si="15"/>
        <v>0</v>
      </c>
      <c r="AC72" s="163">
        <f t="shared" si="15"/>
        <v>0</v>
      </c>
      <c r="AE72" s="51"/>
      <c r="AF72" s="55"/>
      <c r="AG72" s="33">
        <v>1.8</v>
      </c>
      <c r="AH72" s="33">
        <v>0.3</v>
      </c>
      <c r="AI72" s="33">
        <v>2.9</v>
      </c>
      <c r="AJ72" s="193"/>
      <c r="AK72" s="67"/>
      <c r="AL72" s="54"/>
      <c r="AM72" s="54"/>
      <c r="AN72" s="54"/>
      <c r="AP72" s="68"/>
      <c r="AQ72" s="68"/>
      <c r="AS72" s="39" t="b">
        <f t="shared" ref="AS72:AS78" si="34">AND(H72=0,L72&gt;0)</f>
        <v>0</v>
      </c>
    </row>
    <row r="73" spans="2:45" s="5" customFormat="1" ht="14.25" customHeight="1" x14ac:dyDescent="0.25">
      <c r="B73" s="158" t="s">
        <v>71</v>
      </c>
      <c r="C73" s="36"/>
      <c r="D73" s="10"/>
      <c r="E73" s="10"/>
      <c r="F73" s="45">
        <f t="shared" si="0"/>
        <v>0</v>
      </c>
      <c r="G73" s="27"/>
      <c r="H73" s="58"/>
      <c r="I73" s="58"/>
      <c r="J73" s="64"/>
      <c r="K73" s="65"/>
      <c r="L73" s="58"/>
      <c r="M73" s="60"/>
      <c r="N73" s="61"/>
      <c r="O73" s="62"/>
      <c r="P73" s="63"/>
      <c r="Q73" s="165">
        <f t="shared" ref="Q73:Q78" si="35">IF($D73=0,0,AA73/$D73)</f>
        <v>0</v>
      </c>
      <c r="R73" s="165">
        <f t="shared" ref="R73:R78" si="36">IF($D73=0,0,AB73/$D73)</f>
        <v>0</v>
      </c>
      <c r="S73" s="165">
        <f t="shared" ref="S73:S78" si="37">IF($D73=0,0,AC73/$D73)</f>
        <v>0</v>
      </c>
      <c r="U73" s="163">
        <f t="shared" si="28"/>
        <v>0</v>
      </c>
      <c r="V73" s="163">
        <f t="shared" si="29"/>
        <v>0</v>
      </c>
      <c r="W73" s="163">
        <f t="shared" si="30"/>
        <v>0</v>
      </c>
      <c r="X73" s="163">
        <f t="shared" si="31"/>
        <v>0</v>
      </c>
      <c r="Y73" s="163">
        <f t="shared" si="32"/>
        <v>0</v>
      </c>
      <c r="Z73" s="163">
        <f t="shared" si="33"/>
        <v>0</v>
      </c>
      <c r="AA73" s="163">
        <f t="shared" si="15"/>
        <v>0</v>
      </c>
      <c r="AB73" s="163">
        <f t="shared" si="15"/>
        <v>0</v>
      </c>
      <c r="AC73" s="163">
        <f t="shared" si="15"/>
        <v>0</v>
      </c>
      <c r="AE73" s="51"/>
      <c r="AF73" s="55"/>
      <c r="AG73" s="33">
        <v>4</v>
      </c>
      <c r="AH73" s="33">
        <v>0.6</v>
      </c>
      <c r="AI73" s="33">
        <v>5.8</v>
      </c>
      <c r="AJ73" s="193"/>
      <c r="AK73" s="67"/>
      <c r="AL73" s="54"/>
      <c r="AM73" s="54"/>
      <c r="AN73" s="54"/>
      <c r="AP73" s="68"/>
      <c r="AQ73" s="68"/>
      <c r="AS73" s="39" t="b">
        <f t="shared" si="34"/>
        <v>0</v>
      </c>
    </row>
    <row r="74" spans="2:45" s="5" customFormat="1" ht="14.25" customHeight="1" x14ac:dyDescent="0.25">
      <c r="B74" s="689" t="s">
        <v>162</v>
      </c>
      <c r="C74" s="35" t="s">
        <v>188</v>
      </c>
      <c r="D74" s="10"/>
      <c r="E74" s="10"/>
      <c r="F74" s="45">
        <f>IF(D74=0,0,E74/D74)</f>
        <v>0</v>
      </c>
      <c r="G74" s="27"/>
      <c r="H74" s="58"/>
      <c r="I74" s="58"/>
      <c r="J74" s="64"/>
      <c r="K74" s="65"/>
      <c r="L74" s="58"/>
      <c r="M74" s="60"/>
      <c r="N74" s="61"/>
      <c r="O74" s="62"/>
      <c r="P74" s="63"/>
      <c r="Q74" s="165">
        <f t="shared" si="35"/>
        <v>0</v>
      </c>
      <c r="R74" s="165">
        <f t="shared" si="36"/>
        <v>0</v>
      </c>
      <c r="S74" s="165">
        <f t="shared" si="37"/>
        <v>0</v>
      </c>
      <c r="U74" s="163">
        <f t="shared" si="28"/>
        <v>0</v>
      </c>
      <c r="V74" s="163">
        <f t="shared" si="29"/>
        <v>0</v>
      </c>
      <c r="W74" s="163">
        <f t="shared" si="30"/>
        <v>0</v>
      </c>
      <c r="X74" s="163">
        <f t="shared" si="31"/>
        <v>0</v>
      </c>
      <c r="Y74" s="163">
        <f t="shared" si="32"/>
        <v>0</v>
      </c>
      <c r="Z74" s="163">
        <f t="shared" si="33"/>
        <v>0</v>
      </c>
      <c r="AA74" s="163">
        <f t="shared" si="15"/>
        <v>0</v>
      </c>
      <c r="AB74" s="163">
        <f t="shared" si="15"/>
        <v>0</v>
      </c>
      <c r="AC74" s="163">
        <f t="shared" si="15"/>
        <v>0</v>
      </c>
      <c r="AE74" s="51" t="s">
        <v>161</v>
      </c>
      <c r="AF74" s="55">
        <v>0.15</v>
      </c>
      <c r="AG74" s="33">
        <v>11</v>
      </c>
      <c r="AH74" s="33">
        <v>1.1000000000000001</v>
      </c>
      <c r="AI74" s="33">
        <v>3.3</v>
      </c>
      <c r="AJ74" s="192"/>
      <c r="AK74" s="67"/>
      <c r="AL74" s="54"/>
      <c r="AM74" s="54"/>
      <c r="AN74" s="54"/>
      <c r="AP74" s="127">
        <v>80</v>
      </c>
      <c r="AQ74" s="57">
        <f>D74*AP74</f>
        <v>0</v>
      </c>
      <c r="AS74" s="39" t="b">
        <f t="shared" si="34"/>
        <v>0</v>
      </c>
    </row>
    <row r="75" spans="2:45" s="5" customFormat="1" ht="14.25" customHeight="1" x14ac:dyDescent="0.25">
      <c r="B75" s="690"/>
      <c r="C75" s="35" t="s">
        <v>189</v>
      </c>
      <c r="D75" s="10"/>
      <c r="E75" s="10"/>
      <c r="F75" s="45">
        <f>IF(D75=0,0,E75/D75)</f>
        <v>0</v>
      </c>
      <c r="G75" s="27"/>
      <c r="H75" s="58"/>
      <c r="I75" s="58"/>
      <c r="J75" s="64"/>
      <c r="K75" s="65"/>
      <c r="L75" s="58"/>
      <c r="M75" s="60"/>
      <c r="N75" s="61"/>
      <c r="O75" s="62"/>
      <c r="P75" s="63"/>
      <c r="Q75" s="165">
        <f t="shared" si="35"/>
        <v>0</v>
      </c>
      <c r="R75" s="165">
        <f t="shared" si="36"/>
        <v>0</v>
      </c>
      <c r="S75" s="165">
        <f t="shared" si="37"/>
        <v>0</v>
      </c>
      <c r="U75" s="163">
        <f t="shared" si="28"/>
        <v>0</v>
      </c>
      <c r="V75" s="163">
        <f t="shared" si="29"/>
        <v>0</v>
      </c>
      <c r="W75" s="163">
        <f t="shared" si="30"/>
        <v>0</v>
      </c>
      <c r="X75" s="163">
        <f t="shared" si="31"/>
        <v>0</v>
      </c>
      <c r="Y75" s="163">
        <f t="shared" si="32"/>
        <v>0</v>
      </c>
      <c r="Z75" s="163">
        <f t="shared" si="33"/>
        <v>0</v>
      </c>
      <c r="AA75" s="163">
        <f t="shared" ref="AA75:AC80" si="38">U75+X75</f>
        <v>0</v>
      </c>
      <c r="AB75" s="163">
        <f t="shared" si="38"/>
        <v>0</v>
      </c>
      <c r="AC75" s="163">
        <f t="shared" si="38"/>
        <v>0</v>
      </c>
      <c r="AE75" s="51" t="s">
        <v>164</v>
      </c>
      <c r="AF75" s="55">
        <v>0.15</v>
      </c>
      <c r="AG75" s="33">
        <v>5</v>
      </c>
      <c r="AH75" s="33">
        <v>0.7</v>
      </c>
      <c r="AI75" s="33">
        <v>3.3</v>
      </c>
      <c r="AJ75" s="192"/>
      <c r="AK75" s="67"/>
      <c r="AL75" s="54"/>
      <c r="AM75" s="54"/>
      <c r="AN75" s="54"/>
      <c r="AP75" s="127">
        <v>80</v>
      </c>
      <c r="AQ75" s="57">
        <f>D75*AP75</f>
        <v>0</v>
      </c>
      <c r="AS75" s="39" t="b">
        <f t="shared" si="34"/>
        <v>0</v>
      </c>
    </row>
    <row r="76" spans="2:45" s="5" customFormat="1" ht="14.25" customHeight="1" x14ac:dyDescent="0.25">
      <c r="B76" s="158" t="s">
        <v>163</v>
      </c>
      <c r="C76" s="36"/>
      <c r="D76" s="10"/>
      <c r="E76" s="10"/>
      <c r="F76" s="45">
        <f>IF(D76=0,0,E76/D76)</f>
        <v>0</v>
      </c>
      <c r="G76" s="27"/>
      <c r="H76" s="58"/>
      <c r="I76" s="58"/>
      <c r="J76" s="64"/>
      <c r="K76" s="65"/>
      <c r="L76" s="58"/>
      <c r="M76" s="60"/>
      <c r="N76" s="61"/>
      <c r="O76" s="62"/>
      <c r="P76" s="63"/>
      <c r="Q76" s="165">
        <f t="shared" si="35"/>
        <v>0</v>
      </c>
      <c r="R76" s="165">
        <f t="shared" si="36"/>
        <v>0</v>
      </c>
      <c r="S76" s="165">
        <f t="shared" si="37"/>
        <v>0</v>
      </c>
      <c r="U76" s="163">
        <f t="shared" si="28"/>
        <v>0</v>
      </c>
      <c r="V76" s="163">
        <f t="shared" si="29"/>
        <v>0</v>
      </c>
      <c r="W76" s="163">
        <f t="shared" si="30"/>
        <v>0</v>
      </c>
      <c r="X76" s="163">
        <f t="shared" si="31"/>
        <v>0</v>
      </c>
      <c r="Y76" s="163">
        <f t="shared" si="32"/>
        <v>0</v>
      </c>
      <c r="Z76" s="163">
        <f t="shared" si="33"/>
        <v>0</v>
      </c>
      <c r="AA76" s="163">
        <f t="shared" si="38"/>
        <v>0</v>
      </c>
      <c r="AB76" s="163">
        <f t="shared" si="38"/>
        <v>0</v>
      </c>
      <c r="AC76" s="163">
        <f t="shared" si="38"/>
        <v>0</v>
      </c>
      <c r="AE76" s="51" t="s">
        <v>164</v>
      </c>
      <c r="AF76" s="55">
        <v>0.12</v>
      </c>
      <c r="AG76" s="33">
        <v>4</v>
      </c>
      <c r="AH76" s="33">
        <v>0.7</v>
      </c>
      <c r="AI76" s="33">
        <v>2.5</v>
      </c>
      <c r="AJ76" s="192"/>
      <c r="AK76" s="67"/>
      <c r="AL76" s="54"/>
      <c r="AM76" s="54"/>
      <c r="AN76" s="54"/>
      <c r="AP76" s="127">
        <v>80</v>
      </c>
      <c r="AQ76" s="57">
        <f>D76*AP76</f>
        <v>0</v>
      </c>
      <c r="AS76" s="39" t="b">
        <f t="shared" si="34"/>
        <v>0</v>
      </c>
    </row>
    <row r="77" spans="2:45" s="5" customFormat="1" ht="14.25" customHeight="1" x14ac:dyDescent="0.25">
      <c r="B77" s="158" t="s">
        <v>93</v>
      </c>
      <c r="C77" s="36"/>
      <c r="D77" s="10"/>
      <c r="E77" s="10"/>
      <c r="F77" s="45">
        <f>IF(D77=0,0,E77/D77)</f>
        <v>0</v>
      </c>
      <c r="G77" s="27"/>
      <c r="H77" s="58"/>
      <c r="I77" s="58"/>
      <c r="J77" s="64"/>
      <c r="K77" s="65"/>
      <c r="L77" s="58"/>
      <c r="M77" s="60"/>
      <c r="N77" s="61"/>
      <c r="O77" s="62"/>
      <c r="P77" s="69"/>
      <c r="Q77" s="165">
        <f t="shared" si="35"/>
        <v>0</v>
      </c>
      <c r="R77" s="165">
        <f t="shared" si="36"/>
        <v>0</v>
      </c>
      <c r="S77" s="165">
        <f t="shared" si="37"/>
        <v>0</v>
      </c>
      <c r="U77" s="163">
        <f t="shared" si="28"/>
        <v>0</v>
      </c>
      <c r="V77" s="163">
        <f t="shared" si="29"/>
        <v>0</v>
      </c>
      <c r="W77" s="163">
        <f t="shared" si="30"/>
        <v>0</v>
      </c>
      <c r="X77" s="163">
        <f t="shared" si="31"/>
        <v>0</v>
      </c>
      <c r="Y77" s="163">
        <f t="shared" si="32"/>
        <v>0</v>
      </c>
      <c r="Z77" s="163">
        <f t="shared" si="33"/>
        <v>0</v>
      </c>
      <c r="AA77" s="163">
        <f>U77+X77</f>
        <v>0</v>
      </c>
      <c r="AB77" s="163">
        <f>V77+Y77</f>
        <v>0</v>
      </c>
      <c r="AC77" s="163">
        <f>W77+Z77</f>
        <v>0</v>
      </c>
      <c r="AE77" s="70"/>
      <c r="AF77" s="55"/>
      <c r="AG77" s="33">
        <v>2.5</v>
      </c>
      <c r="AH77" s="33">
        <v>0.4</v>
      </c>
      <c r="AI77" s="33">
        <v>4</v>
      </c>
      <c r="AJ77" s="193"/>
      <c r="AK77" s="67"/>
      <c r="AL77" s="54"/>
      <c r="AM77" s="54"/>
      <c r="AN77" s="54"/>
      <c r="AP77" s="68"/>
      <c r="AQ77" s="68"/>
      <c r="AS77" s="39" t="b">
        <f t="shared" si="34"/>
        <v>0</v>
      </c>
    </row>
    <row r="78" spans="2:45" s="5" customFormat="1" ht="14.25" customHeight="1" x14ac:dyDescent="0.25">
      <c r="B78" s="158" t="s">
        <v>254</v>
      </c>
      <c r="C78" s="36"/>
      <c r="D78" s="10"/>
      <c r="E78" s="10"/>
      <c r="F78" s="45">
        <f>IF(D78=0,0,E78/D78)</f>
        <v>0</v>
      </c>
      <c r="G78" s="27"/>
      <c r="H78" s="58"/>
      <c r="I78" s="58"/>
      <c r="J78" s="64"/>
      <c r="K78" s="65"/>
      <c r="L78" s="58"/>
      <c r="M78" s="60"/>
      <c r="N78" s="61"/>
      <c r="O78" s="62"/>
      <c r="P78" s="204"/>
      <c r="Q78" s="165">
        <f t="shared" si="35"/>
        <v>0</v>
      </c>
      <c r="R78" s="165">
        <f t="shared" si="36"/>
        <v>0</v>
      </c>
      <c r="S78" s="165">
        <f t="shared" si="37"/>
        <v>0</v>
      </c>
      <c r="U78" s="163">
        <f t="shared" si="28"/>
        <v>0</v>
      </c>
      <c r="V78" s="163">
        <f t="shared" si="29"/>
        <v>0</v>
      </c>
      <c r="W78" s="163">
        <f t="shared" si="30"/>
        <v>0</v>
      </c>
      <c r="X78" s="163">
        <f t="shared" si="31"/>
        <v>0</v>
      </c>
      <c r="Y78" s="163">
        <f t="shared" si="32"/>
        <v>0</v>
      </c>
      <c r="Z78" s="163">
        <f t="shared" si="33"/>
        <v>0</v>
      </c>
      <c r="AA78" s="163">
        <f t="shared" si="38"/>
        <v>0</v>
      </c>
      <c r="AB78" s="163">
        <f t="shared" si="38"/>
        <v>0</v>
      </c>
      <c r="AC78" s="163">
        <f t="shared" si="38"/>
        <v>0</v>
      </c>
      <c r="AE78" s="70"/>
      <c r="AF78" s="55">
        <v>0.15</v>
      </c>
      <c r="AG78" s="201">
        <v>1.7</v>
      </c>
      <c r="AH78" s="201">
        <v>0.2</v>
      </c>
      <c r="AI78" s="201">
        <v>2.2999999999999998</v>
      </c>
      <c r="AJ78" s="193"/>
      <c r="AK78" s="67"/>
      <c r="AL78" s="54"/>
      <c r="AM78" s="54"/>
      <c r="AN78" s="54"/>
      <c r="AP78" s="68"/>
      <c r="AQ78" s="68"/>
      <c r="AS78" s="203" t="b">
        <f t="shared" si="34"/>
        <v>0</v>
      </c>
    </row>
    <row r="79" spans="2:45" s="5" customFormat="1" ht="14.25" customHeight="1" x14ac:dyDescent="0.25">
      <c r="B79" s="691" t="s">
        <v>233</v>
      </c>
      <c r="C79" s="692"/>
      <c r="D79" s="10"/>
      <c r="E79" s="71"/>
      <c r="F79" s="72"/>
      <c r="G79" s="72"/>
      <c r="H79" s="58"/>
      <c r="I79" s="58"/>
      <c r="J79" s="64"/>
      <c r="K79" s="65"/>
      <c r="L79" s="58"/>
      <c r="M79" s="60"/>
      <c r="N79" s="61"/>
      <c r="O79" s="62"/>
      <c r="P79" s="69"/>
      <c r="Q79" s="76"/>
      <c r="R79" s="76"/>
      <c r="S79" s="76"/>
      <c r="U79" s="76"/>
      <c r="V79" s="76"/>
      <c r="W79" s="76"/>
      <c r="X79" s="76"/>
      <c r="Y79" s="76"/>
      <c r="Z79" s="76"/>
      <c r="AA79" s="68">
        <f t="shared" si="38"/>
        <v>0</v>
      </c>
      <c r="AB79" s="68">
        <f t="shared" si="38"/>
        <v>0</v>
      </c>
      <c r="AC79" s="68">
        <f t="shared" si="38"/>
        <v>0</v>
      </c>
      <c r="AE79" s="73"/>
      <c r="AF79" s="74"/>
      <c r="AG79" s="37"/>
      <c r="AH79" s="37"/>
      <c r="AI79" s="37"/>
      <c r="AJ79" s="193"/>
      <c r="AK79" s="67"/>
      <c r="AL79" s="54"/>
      <c r="AM79" s="54"/>
      <c r="AN79" s="54"/>
      <c r="AP79" s="75"/>
      <c r="AQ79" s="68"/>
      <c r="AS79" s="125"/>
    </row>
    <row r="80" spans="2:45" s="4" customFormat="1" ht="14.25" customHeight="1" thickBot="1" x14ac:dyDescent="0.3">
      <c r="B80" s="695" t="s">
        <v>194</v>
      </c>
      <c r="C80" s="696"/>
      <c r="D80" s="77">
        <f>(SUM(D10:D79))-D57-D62</f>
        <v>0</v>
      </c>
      <c r="E80" s="78"/>
      <c r="F80" s="79"/>
      <c r="G80" s="79"/>
      <c r="H80" s="77">
        <f>(SUM(H10:H78))</f>
        <v>0</v>
      </c>
      <c r="I80" s="77"/>
      <c r="J80" s="80"/>
      <c r="K80" s="81"/>
      <c r="L80" s="77"/>
      <c r="M80" s="47"/>
      <c r="N80" s="178" t="s">
        <v>427</v>
      </c>
      <c r="O80" s="177">
        <f>SUM(O10:O78)-O29-O30-O31</f>
        <v>0</v>
      </c>
      <c r="P80" s="82"/>
      <c r="Q80" s="171">
        <f>IF($D$3=0,0,AA80/$D$3)</f>
        <v>0</v>
      </c>
      <c r="R80" s="171">
        <f>IF($D$3=0,0,AB80/$D$3)</f>
        <v>0</v>
      </c>
      <c r="S80" s="171">
        <f>IF($D$3=0,0,AC80/$D$3)</f>
        <v>0</v>
      </c>
      <c r="U80" s="166">
        <f t="shared" ref="U80:Z80" si="39">SUM(U10:U78)</f>
        <v>0</v>
      </c>
      <c r="V80" s="166">
        <f t="shared" si="39"/>
        <v>0</v>
      </c>
      <c r="W80" s="166">
        <f t="shared" si="39"/>
        <v>0</v>
      </c>
      <c r="X80" s="166">
        <f t="shared" si="39"/>
        <v>0</v>
      </c>
      <c r="Y80" s="166">
        <f t="shared" si="39"/>
        <v>0</v>
      </c>
      <c r="Z80" s="166">
        <f t="shared" si="39"/>
        <v>0</v>
      </c>
      <c r="AA80" s="167">
        <f t="shared" si="38"/>
        <v>0</v>
      </c>
      <c r="AB80" s="167">
        <f t="shared" si="38"/>
        <v>0</v>
      </c>
      <c r="AC80" s="167">
        <f t="shared" si="38"/>
        <v>0</v>
      </c>
      <c r="AE80" s="83"/>
      <c r="AF80" s="83"/>
      <c r="AG80" s="83"/>
      <c r="AH80" s="83"/>
      <c r="AI80" s="83"/>
      <c r="AJ80" s="194"/>
      <c r="AK80" s="84"/>
      <c r="AL80" s="84"/>
      <c r="AM80" s="84"/>
      <c r="AN80" s="84"/>
      <c r="AP80" s="168"/>
      <c r="AQ80" s="169">
        <f>SUM(AQ10:AQ79)</f>
        <v>0</v>
      </c>
      <c r="AS80" s="126"/>
    </row>
    <row r="81" spans="2:43" ht="15.75" thickBot="1" x14ac:dyDescent="0.3">
      <c r="B81" s="693" t="s">
        <v>207</v>
      </c>
      <c r="C81" s="694"/>
      <c r="D81" s="97">
        <f>D80-D3+0.000000000001</f>
        <v>9.9999999999999998E-13</v>
      </c>
      <c r="M81" s="181"/>
      <c r="N81" s="182" t="s">
        <v>428</v>
      </c>
      <c r="O81" s="183">
        <f>O29+O30</f>
        <v>0</v>
      </c>
      <c r="AF81" s="38"/>
      <c r="AQ81" s="85">
        <f>IF($D$3=0,0,AQ80/$D$3)</f>
        <v>0</v>
      </c>
    </row>
    <row r="83" spans="2:43" x14ac:dyDescent="0.25">
      <c r="B83" s="722" t="str">
        <f>'P24'!B83</f>
        <v>Verze 4 (18. 9. 2025, www.carc.cz), kontakty: Ing. Jan Klír, CSc. (603 520 684; jan.klir@carc.cz), Ing. Lada Kozlovská (733 375 632; lada.kozlovska@carc.cz)</v>
      </c>
      <c r="C83" s="722"/>
      <c r="D83" s="722"/>
      <c r="E83" s="722"/>
      <c r="F83" s="722"/>
      <c r="G83" s="722"/>
      <c r="H83" s="722"/>
      <c r="I83" s="5"/>
    </row>
    <row r="84" spans="2:43" x14ac:dyDescent="0.25">
      <c r="F84" s="86"/>
      <c r="G84" s="86"/>
      <c r="AJ84" s="196"/>
    </row>
    <row r="87" spans="2:43" x14ac:dyDescent="0.25">
      <c r="B87" t="s">
        <v>525</v>
      </c>
    </row>
    <row r="88" spans="2:43" ht="14.25" customHeight="1" x14ac:dyDescent="0.25">
      <c r="B88" s="747" t="s">
        <v>418</v>
      </c>
      <c r="C88" s="747"/>
      <c r="D88" s="179">
        <f>D27+D28+D29+D30+D63+D71+D72+D70</f>
        <v>0</v>
      </c>
    </row>
    <row r="89" spans="2:43" ht="14.25" customHeight="1" x14ac:dyDescent="0.25">
      <c r="B89" s="747" t="s">
        <v>419</v>
      </c>
      <c r="C89" s="747"/>
      <c r="D89" s="179">
        <f>D19+D42+D69+D64</f>
        <v>0</v>
      </c>
    </row>
    <row r="90" spans="2:43" ht="14.25" customHeight="1" x14ac:dyDescent="0.25">
      <c r="B90" s="747" t="s">
        <v>292</v>
      </c>
      <c r="C90" s="747"/>
      <c r="D90" s="179">
        <f>D54+D55</f>
        <v>0</v>
      </c>
    </row>
    <row r="91" spans="2:43" ht="14.25" customHeight="1" x14ac:dyDescent="0.25">
      <c r="B91" s="747" t="s">
        <v>424</v>
      </c>
      <c r="C91" s="747"/>
      <c r="D91" s="179">
        <f>D56+D58+D59+D60+D61</f>
        <v>0</v>
      </c>
    </row>
  </sheetData>
  <sheetProtection algorithmName="SHA-512" hashValue="laKt2dplmdZ3zJIqzFBSipmX+NRXXGrh5gvIdvoXvhi+SSAWhWsZIceEjo126mt9xjy0Z84e5/21Zx1GhXgW4A==" saltValue="eR81jrssE2fKEzSdK/5GQw==" spinCount="100000" sheet="1" formatCells="0" formatColumns="0" formatRows="0" selectLockedCells="1"/>
  <mergeCells count="56">
    <mergeCell ref="G2:M2"/>
    <mergeCell ref="G3:M3"/>
    <mergeCell ref="Q7:S7"/>
    <mergeCell ref="N2:O2"/>
    <mergeCell ref="P2:Q2"/>
    <mergeCell ref="N3:O3"/>
    <mergeCell ref="P3:Q3"/>
    <mergeCell ref="H7:P7"/>
    <mergeCell ref="E7:G7"/>
    <mergeCell ref="F1:G1"/>
    <mergeCell ref="B1:D2"/>
    <mergeCell ref="AE7:AI7"/>
    <mergeCell ref="AP8:AQ8"/>
    <mergeCell ref="AJ6:AN6"/>
    <mergeCell ref="U6:W6"/>
    <mergeCell ref="X6:Z6"/>
    <mergeCell ref="AA6:AC6"/>
    <mergeCell ref="AP6:AQ6"/>
    <mergeCell ref="AE6:AI6"/>
    <mergeCell ref="AL8:AN8"/>
    <mergeCell ref="U7:AC7"/>
    <mergeCell ref="AP7:AQ7"/>
    <mergeCell ref="U8:W8"/>
    <mergeCell ref="X8:Z8"/>
    <mergeCell ref="AJ7:AN7"/>
    <mergeCell ref="AK8:AK9"/>
    <mergeCell ref="AF8:AF9"/>
    <mergeCell ref="AA8:AC8"/>
    <mergeCell ref="J9:K9"/>
    <mergeCell ref="M9:N9"/>
    <mergeCell ref="AJ8:AJ9"/>
    <mergeCell ref="Q8:S8"/>
    <mergeCell ref="H8:N8"/>
    <mergeCell ref="O8:O9"/>
    <mergeCell ref="P8:P9"/>
    <mergeCell ref="AG8:AI8"/>
    <mergeCell ref="AE8:AE9"/>
    <mergeCell ref="B91:C91"/>
    <mergeCell ref="B88:C88"/>
    <mergeCell ref="B89:C89"/>
    <mergeCell ref="B90:C90"/>
    <mergeCell ref="B80:C80"/>
    <mergeCell ref="B81:C81"/>
    <mergeCell ref="B83:H83"/>
    <mergeCell ref="B27:B28"/>
    <mergeCell ref="B74:B75"/>
    <mergeCell ref="B79:C79"/>
    <mergeCell ref="B10:B11"/>
    <mergeCell ref="B15:B16"/>
    <mergeCell ref="B7:D8"/>
    <mergeCell ref="E8:G8"/>
    <mergeCell ref="B6:D6"/>
    <mergeCell ref="B9:C9"/>
    <mergeCell ref="B3:C3"/>
    <mergeCell ref="B4:D4"/>
    <mergeCell ref="B5:C5"/>
  </mergeCells>
  <conditionalFormatting sqref="O10:O26 D81">
    <cfRule type="cellIs" dxfId="129" priority="7" stopIfTrue="1" operator="lessThan">
      <formula>0</formula>
    </cfRule>
  </conditionalFormatting>
  <conditionalFormatting sqref="O29:O40">
    <cfRule type="cellIs" dxfId="128" priority="13" stopIfTrue="1" operator="lessThan">
      <formula>0</formula>
    </cfRule>
  </conditionalFormatting>
  <conditionalFormatting sqref="O57 O62">
    <cfRule type="cellIs" dxfId="127" priority="9" stopIfTrue="1" operator="lessThan">
      <formula>0</formula>
    </cfRule>
  </conditionalFormatting>
  <conditionalFormatting sqref="P10:P26 T10:AD26 Q10:S78">
    <cfRule type="cellIs" dxfId="126" priority="5" stopIfTrue="1" operator="equal">
      <formula>"!"</formula>
    </cfRule>
  </conditionalFormatting>
  <conditionalFormatting sqref="P29:P40">
    <cfRule type="cellIs" dxfId="125" priority="10" stopIfTrue="1" operator="equal">
      <formula>"!"</formula>
    </cfRule>
  </conditionalFormatting>
  <conditionalFormatting sqref="P57 T57:AD57 P62 T62:AD62">
    <cfRule type="cellIs" dxfId="124" priority="8" stopIfTrue="1" operator="equal">
      <formula>"!"</formula>
    </cfRule>
  </conditionalFormatting>
  <conditionalFormatting sqref="Q80:S80">
    <cfRule type="cellIs" dxfId="123" priority="1" stopIfTrue="1" operator="equal">
      <formula>"!"</formula>
    </cfRule>
  </conditionalFormatting>
  <conditionalFormatting sqref="T29:AD40">
    <cfRule type="cellIs" dxfId="122" priority="2" stopIfTrue="1" operator="equal">
      <formula>"!"</formula>
    </cfRule>
  </conditionalFormatting>
  <pageMargins left="0.7" right="0.7" top="0.78740157499999996" bottom="0.78740157499999996" header="0.3" footer="0.3"/>
  <pageSetup paperSize="9" orientation="portrait" verticalDpi="0" r:id="rId1"/>
  <ignoredErrors>
    <ignoredError sqref="E4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E8AD37-6A8B-44CF-A00B-7EC66B651604}">
  <sheetPr>
    <tabColor theme="6" tint="0.39997558519241921"/>
  </sheetPr>
  <dimension ref="B1:AS91"/>
  <sheetViews>
    <sheetView showGridLines="0" showZeros="0" zoomScale="90" zoomScaleNormal="90" workbookViewId="0">
      <pane xSplit="4" ySplit="9" topLeftCell="E10" activePane="bottomRight" state="frozen"/>
      <selection pane="topRight" activeCell="E1" sqref="E1"/>
      <selection pane="bottomLeft" activeCell="A12" sqref="A12"/>
      <selection pane="bottomRight" activeCell="D3" sqref="D3"/>
    </sheetView>
  </sheetViews>
  <sheetFormatPr defaultColWidth="5.7109375" defaultRowHeight="15" x14ac:dyDescent="0.25"/>
  <cols>
    <col min="1" max="1" width="0.5703125" customWidth="1"/>
    <col min="2" max="2" width="38.5703125" customWidth="1"/>
    <col min="3" max="3" width="34.85546875" customWidth="1"/>
    <col min="4" max="4" width="26.5703125" customWidth="1"/>
    <col min="5" max="5" width="13.42578125" customWidth="1"/>
    <col min="6" max="6" width="19.28515625" style="1" customWidth="1"/>
    <col min="7" max="7" width="15.7109375" style="1" customWidth="1"/>
    <col min="8" max="8" width="11.140625" customWidth="1"/>
    <col min="9" max="9" width="18.85546875" customWidth="1"/>
    <col min="10" max="10" width="6.5703125" customWidth="1"/>
    <col min="11" max="11" width="7.85546875" customWidth="1"/>
    <col min="12" max="12" width="13.140625" customWidth="1"/>
    <col min="13" max="13" width="7.5703125" customWidth="1"/>
    <col min="14" max="14" width="5.5703125" customWidth="1"/>
    <col min="15" max="15" width="11.28515625" customWidth="1"/>
    <col min="16" max="16" width="3.140625" style="21" customWidth="1"/>
    <col min="17" max="19" width="10.5703125" style="21" customWidth="1"/>
    <col min="20" max="20" width="35.7109375" customWidth="1"/>
    <col min="21" max="29" width="9" customWidth="1"/>
    <col min="30" max="30" width="2.42578125" customWidth="1"/>
    <col min="31" max="31" width="15.140625" customWidth="1"/>
    <col min="32" max="32" width="5.42578125" customWidth="1"/>
    <col min="33" max="35" width="7.5703125" customWidth="1"/>
    <col min="36" max="36" width="12.42578125" style="195" customWidth="1"/>
    <col min="37" max="37" width="5" customWidth="1"/>
    <col min="38" max="40" width="7" customWidth="1"/>
    <col min="41" max="41" width="2.7109375" customWidth="1"/>
    <col min="42" max="43" width="13.85546875" customWidth="1"/>
    <col min="44" max="44" width="1.42578125" customWidth="1"/>
    <col min="45" max="45" width="18" style="6" hidden="1" customWidth="1"/>
    <col min="46" max="54" width="5.7109375" customWidth="1"/>
  </cols>
  <sheetData>
    <row r="1" spans="2:45" ht="15" customHeight="1" x14ac:dyDescent="0.25">
      <c r="B1" s="752" t="s">
        <v>521</v>
      </c>
      <c r="C1" s="752"/>
      <c r="D1" s="752"/>
      <c r="E1" s="639" t="s">
        <v>470</v>
      </c>
      <c r="F1" s="748" t="s">
        <v>604</v>
      </c>
      <c r="G1" s="748"/>
      <c r="H1" s="227">
        <f>Q80</f>
        <v>0</v>
      </c>
      <c r="I1" s="170" t="s">
        <v>2</v>
      </c>
      <c r="J1" s="227">
        <f>R80</f>
        <v>0</v>
      </c>
      <c r="K1" s="170" t="s">
        <v>261</v>
      </c>
      <c r="L1" s="227">
        <f>S80</f>
        <v>0</v>
      </c>
      <c r="M1" s="170" t="s">
        <v>260</v>
      </c>
      <c r="N1" s="257">
        <f>H1-'P24'!H1</f>
        <v>0</v>
      </c>
      <c r="O1" s="257">
        <f>J1-'P24'!J1</f>
        <v>0</v>
      </c>
      <c r="P1" s="258"/>
      <c r="Q1" s="259"/>
      <c r="R1" s="259"/>
      <c r="S1" s="259"/>
      <c r="U1" s="11"/>
      <c r="V1" s="11"/>
      <c r="W1" s="11"/>
      <c r="X1" s="11"/>
      <c r="Y1" s="11"/>
      <c r="Z1" s="11"/>
      <c r="AA1" s="11"/>
      <c r="AB1" s="11"/>
      <c r="AC1" s="11"/>
      <c r="AE1" s="11"/>
      <c r="AF1" s="11"/>
      <c r="AG1" s="11"/>
      <c r="AH1" s="11"/>
      <c r="AI1" s="11"/>
      <c r="AJ1" s="189"/>
      <c r="AK1" s="11"/>
      <c r="AL1" s="11"/>
      <c r="AM1" s="11"/>
      <c r="AN1" s="11"/>
      <c r="AP1" s="11"/>
      <c r="AQ1" s="11"/>
      <c r="AR1" s="11"/>
    </row>
    <row r="2" spans="2:45" s="3" customFormat="1" ht="15" customHeight="1" thickBot="1" x14ac:dyDescent="0.3">
      <c r="B2" s="752"/>
      <c r="C2" s="752"/>
      <c r="D2" s="752"/>
      <c r="E2" s="297">
        <f>'P24'!E2</f>
        <v>0</v>
      </c>
      <c r="F2" s="229" t="s">
        <v>197</v>
      </c>
      <c r="G2" s="750">
        <f>'P24'!G2</f>
        <v>0</v>
      </c>
      <c r="H2" s="751"/>
      <c r="I2" s="751"/>
      <c r="J2" s="751"/>
      <c r="K2" s="751"/>
      <c r="L2" s="751"/>
      <c r="M2" s="751"/>
      <c r="N2" s="736"/>
      <c r="O2" s="736"/>
      <c r="P2" s="706"/>
      <c r="Q2" s="706"/>
      <c r="R2" s="260"/>
      <c r="S2" s="260"/>
      <c r="U2" s="1"/>
      <c r="V2" s="1"/>
      <c r="W2" s="1"/>
      <c r="X2" s="1"/>
      <c r="Y2" s="1"/>
      <c r="Z2" s="1"/>
      <c r="AA2" s="1"/>
      <c r="AB2" s="1"/>
      <c r="AC2" s="1"/>
      <c r="AE2" s="100"/>
      <c r="AF2" s="100"/>
      <c r="AG2" s="100"/>
      <c r="AH2" s="100"/>
      <c r="AI2" s="100"/>
      <c r="AJ2" s="190"/>
      <c r="AK2" s="100"/>
      <c r="AL2" s="100"/>
    </row>
    <row r="3" spans="2:45" s="1" customFormat="1" ht="15" customHeight="1" thickBot="1" x14ac:dyDescent="0.3">
      <c r="B3" s="746" t="s">
        <v>522</v>
      </c>
      <c r="C3" s="746"/>
      <c r="D3" s="308"/>
      <c r="E3" s="640" t="s">
        <v>346</v>
      </c>
      <c r="F3" s="229" t="s">
        <v>198</v>
      </c>
      <c r="G3" s="751">
        <f>'P24'!G3</f>
        <v>0</v>
      </c>
      <c r="H3" s="751"/>
      <c r="I3" s="751"/>
      <c r="J3" s="751"/>
      <c r="K3" s="751"/>
      <c r="L3" s="751"/>
      <c r="M3" s="751"/>
      <c r="N3" s="737"/>
      <c r="O3" s="737"/>
      <c r="P3" s="706"/>
      <c r="Q3" s="706"/>
      <c r="R3" s="260"/>
      <c r="S3" s="260"/>
      <c r="U3" s="29"/>
      <c r="V3" s="29"/>
      <c r="W3" s="29"/>
      <c r="X3" s="29"/>
      <c r="Y3" s="29"/>
      <c r="Z3" s="29"/>
      <c r="AA3" s="29"/>
      <c r="AB3" s="29"/>
      <c r="AC3" s="29"/>
      <c r="AE3" s="100"/>
      <c r="AF3" s="100"/>
      <c r="AG3" s="100"/>
      <c r="AH3" s="100"/>
      <c r="AI3" s="100"/>
      <c r="AJ3" s="190"/>
      <c r="AK3" s="100"/>
      <c r="AL3" s="100"/>
      <c r="AM3" s="29"/>
      <c r="AN3" s="29"/>
      <c r="AP3" s="29"/>
      <c r="AQ3" s="29"/>
      <c r="AS3" s="3"/>
    </row>
    <row r="4" spans="2:45" s="1" customFormat="1" ht="15" customHeight="1" thickBot="1" x14ac:dyDescent="0.3">
      <c r="B4" s="682" t="s">
        <v>559</v>
      </c>
      <c r="C4" s="682"/>
      <c r="D4" s="682"/>
      <c r="E4" s="288">
        <f>'P24'!E4</f>
        <v>0</v>
      </c>
      <c r="F4" s="229" t="s">
        <v>257</v>
      </c>
      <c r="G4" s="290" t="s">
        <v>523</v>
      </c>
      <c r="H4" s="264" t="s">
        <v>258</v>
      </c>
      <c r="I4" s="234"/>
      <c r="J4" s="234"/>
      <c r="K4" s="234"/>
      <c r="L4" s="234"/>
      <c r="M4" s="261"/>
      <c r="N4" s="261"/>
      <c r="O4" s="260"/>
      <c r="P4" s="260"/>
      <c r="Q4" s="260"/>
      <c r="R4" s="260"/>
      <c r="S4" s="260"/>
      <c r="U4" s="29"/>
      <c r="V4" s="29"/>
      <c r="W4" s="29"/>
      <c r="X4" s="29"/>
      <c r="Y4" s="29"/>
      <c r="Z4" s="29"/>
      <c r="AA4" s="29"/>
      <c r="AB4" s="29"/>
      <c r="AC4" s="29"/>
      <c r="AE4" s="100"/>
      <c r="AF4" s="100"/>
      <c r="AG4" s="100"/>
      <c r="AH4" s="100"/>
      <c r="AI4" s="100"/>
      <c r="AJ4" s="190"/>
      <c r="AK4" s="100"/>
      <c r="AL4" s="100"/>
      <c r="AM4" s="29"/>
      <c r="AN4" s="29"/>
      <c r="AP4" s="29"/>
      <c r="AQ4" s="29"/>
      <c r="AS4" s="3"/>
    </row>
    <row r="5" spans="2:45" s="1" customFormat="1" ht="15" customHeight="1" thickBot="1" x14ac:dyDescent="0.3">
      <c r="B5" s="683" t="s">
        <v>558</v>
      </c>
      <c r="C5" s="684"/>
      <c r="D5" s="308"/>
      <c r="E5" s="265"/>
      <c r="F5" s="266" t="s">
        <v>199</v>
      </c>
      <c r="G5" s="290">
        <v>2026</v>
      </c>
      <c r="H5" s="267" t="s">
        <v>222</v>
      </c>
      <c r="I5" s="268"/>
      <c r="J5" s="268"/>
      <c r="K5" s="268"/>
      <c r="L5" s="268"/>
      <c r="M5" s="269"/>
      <c r="N5" s="261"/>
      <c r="O5" s="260"/>
      <c r="P5" s="260"/>
      <c r="Q5" s="260"/>
      <c r="R5" s="260"/>
      <c r="S5" s="260"/>
      <c r="U5" s="29"/>
      <c r="V5" s="29"/>
      <c r="W5" s="29"/>
      <c r="X5" s="29"/>
      <c r="Y5" s="29"/>
      <c r="Z5" s="29"/>
      <c r="AA5" s="29"/>
      <c r="AB5" s="29"/>
      <c r="AC5" s="29"/>
      <c r="AE5" s="100"/>
      <c r="AF5" s="100"/>
      <c r="AG5" s="100"/>
      <c r="AH5" s="100"/>
      <c r="AI5" s="100"/>
      <c r="AJ5" s="190"/>
      <c r="AK5" s="100"/>
      <c r="AL5" s="100"/>
      <c r="AM5" s="29"/>
      <c r="AN5" s="29"/>
      <c r="AP5" s="29"/>
      <c r="AQ5" s="29"/>
      <c r="AS5" s="3"/>
    </row>
    <row r="6" spans="2:45" ht="15" customHeight="1" x14ac:dyDescent="0.25">
      <c r="B6" s="744"/>
      <c r="C6" s="744"/>
      <c r="D6" s="745"/>
      <c r="E6" s="270" t="s">
        <v>172</v>
      </c>
      <c r="F6" s="271">
        <f>D80-D3+0.000000000001</f>
        <v>9.9999999999999998E-13</v>
      </c>
      <c r="G6" s="272" t="str">
        <f>IF(D80-D3+0.000000000001=0.000000000001,"ha → plodiny doplněny, bez překryvů",IF(F6&lt;0,"ha → doplňte, prosím, hektary plodin či TTP (sloupec D)","ha → překryvy, příp. chyby ve výměře plodin"))</f>
        <v>ha → plodiny doplněny, bez překryvů</v>
      </c>
      <c r="H6" s="273"/>
      <c r="I6" s="274"/>
      <c r="J6" s="275"/>
      <c r="K6" s="275"/>
      <c r="L6" s="275"/>
      <c r="M6" s="276"/>
      <c r="N6" s="262"/>
      <c r="O6" s="262"/>
      <c r="P6" s="262"/>
      <c r="Q6" s="263"/>
      <c r="R6" s="263"/>
      <c r="S6" s="263"/>
      <c r="U6" s="707"/>
      <c r="V6" s="707"/>
      <c r="W6" s="707"/>
      <c r="X6" s="707"/>
      <c r="Y6" s="707"/>
      <c r="Z6" s="707"/>
      <c r="AA6" s="707"/>
      <c r="AB6" s="707"/>
      <c r="AC6" s="707"/>
      <c r="AE6" s="708"/>
      <c r="AF6" s="708"/>
      <c r="AG6" s="708"/>
      <c r="AH6" s="708"/>
      <c r="AI6" s="708"/>
      <c r="AJ6" s="707"/>
      <c r="AK6" s="707"/>
      <c r="AL6" s="707"/>
      <c r="AM6" s="707"/>
      <c r="AN6" s="707"/>
      <c r="AP6" s="707"/>
      <c r="AQ6" s="707"/>
      <c r="AR6" s="40"/>
    </row>
    <row r="7" spans="2:45" ht="23.1" customHeight="1" x14ac:dyDescent="0.25">
      <c r="B7" s="738" t="s">
        <v>531</v>
      </c>
      <c r="C7" s="739"/>
      <c r="D7" s="740"/>
      <c r="E7" s="702" t="s">
        <v>204</v>
      </c>
      <c r="F7" s="702"/>
      <c r="G7" s="702"/>
      <c r="H7" s="712" t="s">
        <v>167</v>
      </c>
      <c r="I7" s="713"/>
      <c r="J7" s="713"/>
      <c r="K7" s="713"/>
      <c r="L7" s="713"/>
      <c r="M7" s="713"/>
      <c r="N7" s="714"/>
      <c r="O7" s="714"/>
      <c r="P7" s="715"/>
      <c r="Q7" s="704" t="s">
        <v>267</v>
      </c>
      <c r="R7" s="704"/>
      <c r="S7" s="704"/>
      <c r="U7" s="704" t="s">
        <v>268</v>
      </c>
      <c r="V7" s="704"/>
      <c r="W7" s="704"/>
      <c r="X7" s="704"/>
      <c r="Y7" s="704"/>
      <c r="Z7" s="704"/>
      <c r="AA7" s="704"/>
      <c r="AB7" s="704"/>
      <c r="AC7" s="704"/>
      <c r="AE7" s="697" t="s">
        <v>150</v>
      </c>
      <c r="AF7" s="697"/>
      <c r="AG7" s="697"/>
      <c r="AH7" s="697"/>
      <c r="AI7" s="697"/>
      <c r="AJ7" s="703" t="s">
        <v>151</v>
      </c>
      <c r="AK7" s="703"/>
      <c r="AL7" s="703"/>
      <c r="AM7" s="703"/>
      <c r="AN7" s="703"/>
      <c r="AP7" s="724" t="s">
        <v>238</v>
      </c>
      <c r="AQ7" s="724"/>
      <c r="AR7" s="40"/>
    </row>
    <row r="8" spans="2:45" ht="23.1" customHeight="1" x14ac:dyDescent="0.25">
      <c r="B8" s="741"/>
      <c r="C8" s="742"/>
      <c r="D8" s="743"/>
      <c r="E8" s="734" t="s">
        <v>168</v>
      </c>
      <c r="F8" s="735"/>
      <c r="G8" s="735"/>
      <c r="H8" s="703" t="s">
        <v>171</v>
      </c>
      <c r="I8" s="703"/>
      <c r="J8" s="703"/>
      <c r="K8" s="703"/>
      <c r="L8" s="703"/>
      <c r="M8" s="703"/>
      <c r="N8" s="703"/>
      <c r="O8" s="710" t="s">
        <v>528</v>
      </c>
      <c r="P8" s="711" t="s">
        <v>170</v>
      </c>
      <c r="Q8" s="717" t="s">
        <v>269</v>
      </c>
      <c r="R8" s="718"/>
      <c r="S8" s="719"/>
      <c r="U8" s="731" t="s">
        <v>150</v>
      </c>
      <c r="V8" s="732"/>
      <c r="W8" s="733"/>
      <c r="X8" s="731" t="s">
        <v>151</v>
      </c>
      <c r="Y8" s="732"/>
      <c r="Z8" s="733"/>
      <c r="AA8" s="731" t="s">
        <v>175</v>
      </c>
      <c r="AB8" s="732"/>
      <c r="AC8" s="733"/>
      <c r="AE8" s="697" t="s">
        <v>130</v>
      </c>
      <c r="AF8" s="697" t="s">
        <v>60</v>
      </c>
      <c r="AG8" s="709" t="s">
        <v>273</v>
      </c>
      <c r="AH8" s="709"/>
      <c r="AI8" s="709"/>
      <c r="AJ8" s="710" t="s">
        <v>130</v>
      </c>
      <c r="AK8" s="716" t="s">
        <v>60</v>
      </c>
      <c r="AL8" s="703" t="s">
        <v>152</v>
      </c>
      <c r="AM8" s="703"/>
      <c r="AN8" s="703"/>
      <c r="AP8" s="723"/>
      <c r="AQ8" s="723"/>
      <c r="AR8" s="40"/>
    </row>
    <row r="9" spans="2:45" s="1" customFormat="1" ht="51.75" customHeight="1" x14ac:dyDescent="0.25">
      <c r="B9" s="698" t="s">
        <v>509</v>
      </c>
      <c r="C9" s="699"/>
      <c r="D9" s="98" t="s">
        <v>274</v>
      </c>
      <c r="E9" s="30" t="s">
        <v>196</v>
      </c>
      <c r="F9" s="30" t="s">
        <v>203</v>
      </c>
      <c r="G9" s="30" t="s">
        <v>149</v>
      </c>
      <c r="H9" s="41" t="s">
        <v>195</v>
      </c>
      <c r="I9" s="41" t="s">
        <v>190</v>
      </c>
      <c r="J9" s="705" t="s">
        <v>191</v>
      </c>
      <c r="K9" s="705"/>
      <c r="L9" s="41" t="s">
        <v>192</v>
      </c>
      <c r="M9" s="705" t="s">
        <v>193</v>
      </c>
      <c r="N9" s="705"/>
      <c r="O9" s="710"/>
      <c r="P9" s="711"/>
      <c r="Q9" s="164" t="s">
        <v>264</v>
      </c>
      <c r="R9" s="164" t="s">
        <v>265</v>
      </c>
      <c r="S9" s="164" t="s">
        <v>266</v>
      </c>
      <c r="U9" s="162" t="s">
        <v>235</v>
      </c>
      <c r="V9" s="162" t="s">
        <v>236</v>
      </c>
      <c r="W9" s="162" t="s">
        <v>237</v>
      </c>
      <c r="X9" s="162" t="s">
        <v>235</v>
      </c>
      <c r="Y9" s="162" t="s">
        <v>236</v>
      </c>
      <c r="Z9" s="162" t="s">
        <v>237</v>
      </c>
      <c r="AA9" s="162" t="s">
        <v>235</v>
      </c>
      <c r="AB9" s="162" t="s">
        <v>236</v>
      </c>
      <c r="AC9" s="162" t="s">
        <v>237</v>
      </c>
      <c r="AE9" s="697"/>
      <c r="AF9" s="697"/>
      <c r="AG9" s="30" t="s">
        <v>0</v>
      </c>
      <c r="AH9" s="30" t="s">
        <v>59</v>
      </c>
      <c r="AI9" s="30" t="s">
        <v>61</v>
      </c>
      <c r="AJ9" s="710"/>
      <c r="AK9" s="716"/>
      <c r="AL9" s="42" t="s">
        <v>0</v>
      </c>
      <c r="AM9" s="42" t="s">
        <v>59</v>
      </c>
      <c r="AN9" s="42" t="s">
        <v>61</v>
      </c>
      <c r="AP9" s="43" t="s">
        <v>2</v>
      </c>
      <c r="AQ9" s="43" t="s">
        <v>176</v>
      </c>
      <c r="AR9" s="44"/>
      <c r="AS9" s="3"/>
    </row>
    <row r="10" spans="2:45" s="5" customFormat="1" ht="14.25" customHeight="1" x14ac:dyDescent="0.25">
      <c r="B10" s="689" t="s">
        <v>433</v>
      </c>
      <c r="C10" s="31" t="s">
        <v>180</v>
      </c>
      <c r="D10" s="10"/>
      <c r="E10" s="10"/>
      <c r="F10" s="45">
        <f t="shared" ref="F10:F73" si="0">IF(D10=0,0,E10/D10)</f>
        <v>0</v>
      </c>
      <c r="G10" s="27"/>
      <c r="H10" s="9"/>
      <c r="I10" s="46">
        <f>IF(L10=0,IF(F10=0,G10*K10*H10,F10*K10*H10),0)</f>
        <v>0</v>
      </c>
      <c r="J10" s="47" t="s">
        <v>169</v>
      </c>
      <c r="K10" s="48">
        <v>0.9</v>
      </c>
      <c r="L10" s="9"/>
      <c r="M10" s="47" t="s">
        <v>272</v>
      </c>
      <c r="N10" s="48" t="str">
        <f>IF(H10=0,"",IF(F10+G10=0,"",IF(L10=0,0,IF(G10=0,(L10/H10)/F10,(L10/H10)/G10))))</f>
        <v/>
      </c>
      <c r="O10" s="49">
        <f>D10-H10</f>
        <v>0</v>
      </c>
      <c r="P10" s="50" t="str">
        <f t="shared" ref="P10:P26" si="1">IF(O10&lt;0,"!",IF(AS10=TRUE,"!",""))</f>
        <v/>
      </c>
      <c r="Q10" s="165">
        <f>IF($D10=0,0,AA10/$D10)</f>
        <v>0</v>
      </c>
      <c r="R10" s="165">
        <f>IF($D10=0,0,AB10/$D10)</f>
        <v>0</v>
      </c>
      <c r="S10" s="165">
        <f>IF($D10=0,0,AC10/$D10)</f>
        <v>0</v>
      </c>
      <c r="U10" s="163">
        <f t="shared" ref="U10:W40" si="2">IF($G10=0,$F10*$D10*AG10,$G10*$D10*AG10)</f>
        <v>0</v>
      </c>
      <c r="V10" s="163">
        <f t="shared" si="2"/>
        <v>0</v>
      </c>
      <c r="W10" s="163">
        <f t="shared" si="2"/>
        <v>0</v>
      </c>
      <c r="X10" s="163">
        <f t="shared" ref="X10:Z40" si="3">IF($L10=0,$I10*AL10,$L10*AL10)</f>
        <v>0</v>
      </c>
      <c r="Y10" s="163">
        <f t="shared" si="3"/>
        <v>0</v>
      </c>
      <c r="Z10" s="163">
        <f t="shared" si="3"/>
        <v>0</v>
      </c>
      <c r="AA10" s="163">
        <f>U10+X10</f>
        <v>0</v>
      </c>
      <c r="AB10" s="163">
        <f>V10+Y10</f>
        <v>0</v>
      </c>
      <c r="AC10" s="163">
        <f>W10+Z10</f>
        <v>0</v>
      </c>
      <c r="AE10" s="51" t="s">
        <v>137</v>
      </c>
      <c r="AF10" s="32">
        <v>0.86</v>
      </c>
      <c r="AG10" s="33">
        <v>20.399999999999999</v>
      </c>
      <c r="AH10" s="33">
        <v>2.9</v>
      </c>
      <c r="AI10" s="33">
        <v>3.5</v>
      </c>
      <c r="AJ10" s="191" t="s">
        <v>131</v>
      </c>
      <c r="AK10" s="52">
        <v>0.91</v>
      </c>
      <c r="AL10" s="53">
        <v>4.7</v>
      </c>
      <c r="AM10" s="53">
        <v>0.6</v>
      </c>
      <c r="AN10" s="53">
        <v>11.1</v>
      </c>
      <c r="AP10" s="54"/>
      <c r="AQ10" s="54"/>
      <c r="AS10" s="39" t="b">
        <f t="shared" ref="AS10:AS73" si="4">AND(H10=0,L10&gt;0)</f>
        <v>0</v>
      </c>
    </row>
    <row r="11" spans="2:45" s="5" customFormat="1" ht="14.25" customHeight="1" x14ac:dyDescent="0.25">
      <c r="B11" s="690"/>
      <c r="C11" s="31" t="s">
        <v>181</v>
      </c>
      <c r="D11" s="10"/>
      <c r="E11" s="10"/>
      <c r="F11" s="45">
        <f t="shared" si="0"/>
        <v>0</v>
      </c>
      <c r="G11" s="27"/>
      <c r="H11" s="9"/>
      <c r="I11" s="46">
        <f t="shared" ref="I11:I26" si="5">IF(L11=0,IF(F11=0,G11*K11*H11,F11*K11*H11),0)</f>
        <v>0</v>
      </c>
      <c r="J11" s="47" t="s">
        <v>169</v>
      </c>
      <c r="K11" s="48">
        <f>0.9</f>
        <v>0.9</v>
      </c>
      <c r="L11" s="9"/>
      <c r="M11" s="47" t="s">
        <v>272</v>
      </c>
      <c r="N11" s="48" t="str">
        <f t="shared" ref="N11:N26" si="6">IF(H11=0,"",IF(F11+G11=0,"",IF(L11=0,0,IF(G11=0,(L11/H11)/F11,(L11/H11)/G11))))</f>
        <v/>
      </c>
      <c r="O11" s="49">
        <f t="shared" ref="O11:O26" si="7">D11-H11</f>
        <v>0</v>
      </c>
      <c r="P11" s="50" t="str">
        <f t="shared" si="1"/>
        <v/>
      </c>
      <c r="Q11" s="165">
        <f t="shared" ref="Q11:S72" si="8">IF($D11=0,0,AA11/$D11)</f>
        <v>0</v>
      </c>
      <c r="R11" s="165">
        <f t="shared" si="8"/>
        <v>0</v>
      </c>
      <c r="S11" s="165">
        <f t="shared" si="8"/>
        <v>0</v>
      </c>
      <c r="U11" s="163">
        <f t="shared" si="2"/>
        <v>0</v>
      </c>
      <c r="V11" s="163">
        <f t="shared" si="2"/>
        <v>0</v>
      </c>
      <c r="W11" s="163">
        <f t="shared" si="2"/>
        <v>0</v>
      </c>
      <c r="X11" s="163">
        <f t="shared" si="3"/>
        <v>0</v>
      </c>
      <c r="Y11" s="163">
        <f t="shared" si="3"/>
        <v>0</v>
      </c>
      <c r="Z11" s="163">
        <f t="shared" si="3"/>
        <v>0</v>
      </c>
      <c r="AA11" s="163">
        <f t="shared" ref="AA11:AC74" si="9">U11+X11</f>
        <v>0</v>
      </c>
      <c r="AB11" s="163">
        <f t="shared" si="9"/>
        <v>0</v>
      </c>
      <c r="AC11" s="163">
        <f t="shared" si="9"/>
        <v>0</v>
      </c>
      <c r="AE11" s="51" t="s">
        <v>137</v>
      </c>
      <c r="AF11" s="55">
        <v>0.86</v>
      </c>
      <c r="AG11" s="33">
        <v>17.8</v>
      </c>
      <c r="AH11" s="33">
        <v>2.9</v>
      </c>
      <c r="AI11" s="33">
        <v>3.5</v>
      </c>
      <c r="AJ11" s="191" t="s">
        <v>131</v>
      </c>
      <c r="AK11" s="56">
        <v>0.91</v>
      </c>
      <c r="AL11" s="53">
        <v>4.7</v>
      </c>
      <c r="AM11" s="53">
        <v>0.6</v>
      </c>
      <c r="AN11" s="53">
        <v>11.1</v>
      </c>
      <c r="AP11" s="54"/>
      <c r="AQ11" s="54"/>
      <c r="AS11" s="39" t="b">
        <f t="shared" si="4"/>
        <v>0</v>
      </c>
    </row>
    <row r="12" spans="2:45" s="5" customFormat="1" ht="14.25" customHeight="1" x14ac:dyDescent="0.25">
      <c r="B12" s="158" t="s">
        <v>434</v>
      </c>
      <c r="C12" s="34"/>
      <c r="D12" s="10"/>
      <c r="E12" s="10"/>
      <c r="F12" s="45">
        <f t="shared" si="0"/>
        <v>0</v>
      </c>
      <c r="G12" s="27"/>
      <c r="H12" s="9"/>
      <c r="I12" s="46">
        <f t="shared" si="5"/>
        <v>0</v>
      </c>
      <c r="J12" s="47" t="s">
        <v>169</v>
      </c>
      <c r="K12" s="48">
        <f>0.9</f>
        <v>0.9</v>
      </c>
      <c r="L12" s="9"/>
      <c r="M12" s="47" t="s">
        <v>272</v>
      </c>
      <c r="N12" s="48" t="str">
        <f t="shared" si="6"/>
        <v/>
      </c>
      <c r="O12" s="49">
        <f t="shared" si="7"/>
        <v>0</v>
      </c>
      <c r="P12" s="50" t="str">
        <f t="shared" si="1"/>
        <v/>
      </c>
      <c r="Q12" s="165">
        <f t="shared" si="8"/>
        <v>0</v>
      </c>
      <c r="R12" s="165">
        <f t="shared" si="8"/>
        <v>0</v>
      </c>
      <c r="S12" s="165">
        <f t="shared" si="8"/>
        <v>0</v>
      </c>
      <c r="U12" s="163">
        <f t="shared" si="2"/>
        <v>0</v>
      </c>
      <c r="V12" s="163">
        <f t="shared" si="2"/>
        <v>0</v>
      </c>
      <c r="W12" s="163">
        <f t="shared" si="2"/>
        <v>0</v>
      </c>
      <c r="X12" s="163">
        <f t="shared" si="3"/>
        <v>0</v>
      </c>
      <c r="Y12" s="163">
        <f t="shared" si="3"/>
        <v>0</v>
      </c>
      <c r="Z12" s="163">
        <f t="shared" si="3"/>
        <v>0</v>
      </c>
      <c r="AA12" s="163">
        <f t="shared" si="9"/>
        <v>0</v>
      </c>
      <c r="AB12" s="163">
        <f t="shared" si="9"/>
        <v>0</v>
      </c>
      <c r="AC12" s="163">
        <f t="shared" si="9"/>
        <v>0</v>
      </c>
      <c r="AE12" s="51" t="s">
        <v>137</v>
      </c>
      <c r="AF12" s="55">
        <v>0.86</v>
      </c>
      <c r="AG12" s="33">
        <v>18.100000000000001</v>
      </c>
      <c r="AH12" s="33">
        <v>3</v>
      </c>
      <c r="AI12" s="33">
        <v>3.7</v>
      </c>
      <c r="AJ12" s="191" t="s">
        <v>131</v>
      </c>
      <c r="AK12" s="56">
        <v>0.91</v>
      </c>
      <c r="AL12" s="53">
        <v>4.5</v>
      </c>
      <c r="AM12" s="53">
        <v>0.7</v>
      </c>
      <c r="AN12" s="53">
        <v>11.6</v>
      </c>
      <c r="AP12" s="54"/>
      <c r="AQ12" s="54"/>
      <c r="AS12" s="39" t="b">
        <f t="shared" si="4"/>
        <v>0</v>
      </c>
    </row>
    <row r="13" spans="2:45" s="5" customFormat="1" ht="14.25" customHeight="1" x14ac:dyDescent="0.25">
      <c r="B13" s="158" t="s">
        <v>87</v>
      </c>
      <c r="C13" s="34"/>
      <c r="D13" s="10"/>
      <c r="E13" s="10"/>
      <c r="F13" s="45">
        <f t="shared" si="0"/>
        <v>0</v>
      </c>
      <c r="G13" s="27"/>
      <c r="H13" s="9"/>
      <c r="I13" s="46">
        <f t="shared" si="5"/>
        <v>0</v>
      </c>
      <c r="J13" s="47" t="s">
        <v>169</v>
      </c>
      <c r="K13" s="48">
        <f>1</f>
        <v>1</v>
      </c>
      <c r="L13" s="9"/>
      <c r="M13" s="47" t="s">
        <v>272</v>
      </c>
      <c r="N13" s="48" t="str">
        <f t="shared" si="6"/>
        <v/>
      </c>
      <c r="O13" s="49">
        <f t="shared" si="7"/>
        <v>0</v>
      </c>
      <c r="P13" s="50" t="str">
        <f t="shared" si="1"/>
        <v/>
      </c>
      <c r="Q13" s="165">
        <f t="shared" si="8"/>
        <v>0</v>
      </c>
      <c r="R13" s="165">
        <f t="shared" si="8"/>
        <v>0</v>
      </c>
      <c r="S13" s="165">
        <f t="shared" si="8"/>
        <v>0</v>
      </c>
      <c r="U13" s="163">
        <f t="shared" si="2"/>
        <v>0</v>
      </c>
      <c r="V13" s="163">
        <f t="shared" si="2"/>
        <v>0</v>
      </c>
      <c r="W13" s="163">
        <f t="shared" si="2"/>
        <v>0</v>
      </c>
      <c r="X13" s="163">
        <f t="shared" si="3"/>
        <v>0</v>
      </c>
      <c r="Y13" s="163">
        <f t="shared" si="3"/>
        <v>0</v>
      </c>
      <c r="Z13" s="163">
        <f t="shared" si="3"/>
        <v>0</v>
      </c>
      <c r="AA13" s="163">
        <f t="shared" si="9"/>
        <v>0</v>
      </c>
      <c r="AB13" s="163">
        <f t="shared" si="9"/>
        <v>0</v>
      </c>
      <c r="AC13" s="163">
        <f t="shared" si="9"/>
        <v>0</v>
      </c>
      <c r="AE13" s="51" t="s">
        <v>137</v>
      </c>
      <c r="AF13" s="55">
        <v>0.86</v>
      </c>
      <c r="AG13" s="33">
        <v>16.2</v>
      </c>
      <c r="AH13" s="33">
        <v>3.5</v>
      </c>
      <c r="AI13" s="33">
        <v>5.0999999999999996</v>
      </c>
      <c r="AJ13" s="191" t="s">
        <v>131</v>
      </c>
      <c r="AK13" s="56">
        <v>0.91</v>
      </c>
      <c r="AL13" s="53">
        <v>4.5</v>
      </c>
      <c r="AM13" s="53">
        <v>1.1000000000000001</v>
      </c>
      <c r="AN13" s="53">
        <v>10.7</v>
      </c>
      <c r="AP13" s="54"/>
      <c r="AQ13" s="54"/>
      <c r="AS13" s="39" t="b">
        <f t="shared" si="4"/>
        <v>0</v>
      </c>
    </row>
    <row r="14" spans="2:45" s="5" customFormat="1" ht="14.25" customHeight="1" x14ac:dyDescent="0.25">
      <c r="B14" s="158" t="s">
        <v>80</v>
      </c>
      <c r="C14" s="34"/>
      <c r="D14" s="10"/>
      <c r="E14" s="10"/>
      <c r="F14" s="45">
        <f t="shared" si="0"/>
        <v>0</v>
      </c>
      <c r="G14" s="27"/>
      <c r="H14" s="9"/>
      <c r="I14" s="46">
        <f t="shared" si="5"/>
        <v>0</v>
      </c>
      <c r="J14" s="47" t="s">
        <v>169</v>
      </c>
      <c r="K14" s="48">
        <f>0.7</f>
        <v>0.7</v>
      </c>
      <c r="L14" s="9"/>
      <c r="M14" s="47" t="s">
        <v>272</v>
      </c>
      <c r="N14" s="48" t="str">
        <f t="shared" si="6"/>
        <v/>
      </c>
      <c r="O14" s="49">
        <f t="shared" si="7"/>
        <v>0</v>
      </c>
      <c r="P14" s="50" t="str">
        <f t="shared" si="1"/>
        <v/>
      </c>
      <c r="Q14" s="165">
        <f t="shared" si="8"/>
        <v>0</v>
      </c>
      <c r="R14" s="165">
        <f t="shared" si="8"/>
        <v>0</v>
      </c>
      <c r="S14" s="165">
        <f t="shared" si="8"/>
        <v>0</v>
      </c>
      <c r="U14" s="163">
        <f t="shared" si="2"/>
        <v>0</v>
      </c>
      <c r="V14" s="163">
        <f t="shared" si="2"/>
        <v>0</v>
      </c>
      <c r="W14" s="163">
        <f t="shared" si="2"/>
        <v>0</v>
      </c>
      <c r="X14" s="163">
        <f t="shared" si="3"/>
        <v>0</v>
      </c>
      <c r="Y14" s="163">
        <f t="shared" si="3"/>
        <v>0</v>
      </c>
      <c r="Z14" s="163">
        <f t="shared" si="3"/>
        <v>0</v>
      </c>
      <c r="AA14" s="163">
        <f t="shared" si="9"/>
        <v>0</v>
      </c>
      <c r="AB14" s="163">
        <f t="shared" si="9"/>
        <v>0</v>
      </c>
      <c r="AC14" s="163">
        <f t="shared" si="9"/>
        <v>0</v>
      </c>
      <c r="AE14" s="51" t="s">
        <v>137</v>
      </c>
      <c r="AF14" s="55">
        <v>0.86</v>
      </c>
      <c r="AG14" s="33">
        <v>17.2</v>
      </c>
      <c r="AH14" s="33">
        <v>3.4</v>
      </c>
      <c r="AI14" s="33">
        <v>5.0999999999999996</v>
      </c>
      <c r="AJ14" s="191" t="s">
        <v>131</v>
      </c>
      <c r="AK14" s="56">
        <v>0.91</v>
      </c>
      <c r="AL14" s="53">
        <v>5.9</v>
      </c>
      <c r="AM14" s="53">
        <v>1</v>
      </c>
      <c r="AN14" s="53">
        <v>11.7</v>
      </c>
      <c r="AP14" s="54"/>
      <c r="AQ14" s="54"/>
      <c r="AS14" s="39" t="b">
        <f t="shared" si="4"/>
        <v>0</v>
      </c>
    </row>
    <row r="15" spans="2:45" s="5" customFormat="1" ht="14.25" customHeight="1" x14ac:dyDescent="0.25">
      <c r="B15" s="689" t="s">
        <v>183</v>
      </c>
      <c r="C15" s="31" t="s">
        <v>178</v>
      </c>
      <c r="D15" s="10"/>
      <c r="E15" s="10"/>
      <c r="F15" s="45">
        <f t="shared" si="0"/>
        <v>0</v>
      </c>
      <c r="G15" s="27"/>
      <c r="H15" s="9"/>
      <c r="I15" s="46">
        <f t="shared" si="5"/>
        <v>0</v>
      </c>
      <c r="J15" s="47" t="s">
        <v>169</v>
      </c>
      <c r="K15" s="48">
        <f>0.6</f>
        <v>0.6</v>
      </c>
      <c r="L15" s="9"/>
      <c r="M15" s="47" t="s">
        <v>272</v>
      </c>
      <c r="N15" s="48" t="str">
        <f t="shared" si="6"/>
        <v/>
      </c>
      <c r="O15" s="49">
        <f t="shared" si="7"/>
        <v>0</v>
      </c>
      <c r="P15" s="50" t="str">
        <f t="shared" si="1"/>
        <v/>
      </c>
      <c r="Q15" s="165">
        <f t="shared" si="8"/>
        <v>0</v>
      </c>
      <c r="R15" s="165">
        <f t="shared" si="8"/>
        <v>0</v>
      </c>
      <c r="S15" s="165">
        <f t="shared" si="8"/>
        <v>0</v>
      </c>
      <c r="U15" s="163">
        <f t="shared" si="2"/>
        <v>0</v>
      </c>
      <c r="V15" s="163">
        <f t="shared" si="2"/>
        <v>0</v>
      </c>
      <c r="W15" s="163">
        <f t="shared" si="2"/>
        <v>0</v>
      </c>
      <c r="X15" s="163">
        <f t="shared" si="3"/>
        <v>0</v>
      </c>
      <c r="Y15" s="163">
        <f t="shared" si="3"/>
        <v>0</v>
      </c>
      <c r="Z15" s="163">
        <f t="shared" si="3"/>
        <v>0</v>
      </c>
      <c r="AA15" s="163">
        <f t="shared" si="9"/>
        <v>0</v>
      </c>
      <c r="AB15" s="163">
        <f t="shared" si="9"/>
        <v>0</v>
      </c>
      <c r="AC15" s="163">
        <f t="shared" si="9"/>
        <v>0</v>
      </c>
      <c r="AE15" s="51" t="s">
        <v>137</v>
      </c>
      <c r="AF15" s="55">
        <v>0.86</v>
      </c>
      <c r="AG15" s="33">
        <v>15.1</v>
      </c>
      <c r="AH15" s="33">
        <v>2.8</v>
      </c>
      <c r="AI15" s="33">
        <v>3.9</v>
      </c>
      <c r="AJ15" s="191" t="s">
        <v>131</v>
      </c>
      <c r="AK15" s="56">
        <v>0.91</v>
      </c>
      <c r="AL15" s="53">
        <v>5.9</v>
      </c>
      <c r="AM15" s="53">
        <v>0.8</v>
      </c>
      <c r="AN15" s="53">
        <v>13.7</v>
      </c>
      <c r="AP15" s="54"/>
      <c r="AQ15" s="54"/>
      <c r="AS15" s="39" t="b">
        <f t="shared" si="4"/>
        <v>0</v>
      </c>
    </row>
    <row r="16" spans="2:45" s="5" customFormat="1" ht="14.25" customHeight="1" x14ac:dyDescent="0.25">
      <c r="B16" s="690"/>
      <c r="C16" s="31" t="s">
        <v>179</v>
      </c>
      <c r="D16" s="10"/>
      <c r="E16" s="10"/>
      <c r="F16" s="45">
        <f t="shared" si="0"/>
        <v>0</v>
      </c>
      <c r="G16" s="27"/>
      <c r="H16" s="9"/>
      <c r="I16" s="46">
        <f t="shared" si="5"/>
        <v>0</v>
      </c>
      <c r="J16" s="47" t="s">
        <v>169</v>
      </c>
      <c r="K16" s="48">
        <v>0.6</v>
      </c>
      <c r="L16" s="9"/>
      <c r="M16" s="47" t="s">
        <v>272</v>
      </c>
      <c r="N16" s="48" t="str">
        <f t="shared" si="6"/>
        <v/>
      </c>
      <c r="O16" s="49">
        <f t="shared" si="7"/>
        <v>0</v>
      </c>
      <c r="P16" s="50" t="str">
        <f t="shared" si="1"/>
        <v/>
      </c>
      <c r="Q16" s="165">
        <f t="shared" si="8"/>
        <v>0</v>
      </c>
      <c r="R16" s="165">
        <f t="shared" si="8"/>
        <v>0</v>
      </c>
      <c r="S16" s="165">
        <f t="shared" si="8"/>
        <v>0</v>
      </c>
      <c r="U16" s="163">
        <f t="shared" si="2"/>
        <v>0</v>
      </c>
      <c r="V16" s="163">
        <f t="shared" si="2"/>
        <v>0</v>
      </c>
      <c r="W16" s="163">
        <f t="shared" si="2"/>
        <v>0</v>
      </c>
      <c r="X16" s="163">
        <f t="shared" si="3"/>
        <v>0</v>
      </c>
      <c r="Y16" s="163">
        <f t="shared" si="3"/>
        <v>0</v>
      </c>
      <c r="Z16" s="163">
        <f t="shared" si="3"/>
        <v>0</v>
      </c>
      <c r="AA16" s="163">
        <f t="shared" si="9"/>
        <v>0</v>
      </c>
      <c r="AB16" s="163">
        <f t="shared" si="9"/>
        <v>0</v>
      </c>
      <c r="AC16" s="163">
        <f t="shared" si="9"/>
        <v>0</v>
      </c>
      <c r="AE16" s="51" t="s">
        <v>137</v>
      </c>
      <c r="AF16" s="55">
        <v>0.86</v>
      </c>
      <c r="AG16" s="33">
        <v>17.2</v>
      </c>
      <c r="AH16" s="33">
        <v>2.8</v>
      </c>
      <c r="AI16" s="33">
        <v>3.9</v>
      </c>
      <c r="AJ16" s="191" t="s">
        <v>131</v>
      </c>
      <c r="AK16" s="56">
        <v>0.91</v>
      </c>
      <c r="AL16" s="53">
        <v>5.9</v>
      </c>
      <c r="AM16" s="53">
        <v>0.8</v>
      </c>
      <c r="AN16" s="53">
        <v>13.7</v>
      </c>
      <c r="AP16" s="54"/>
      <c r="AQ16" s="54"/>
      <c r="AS16" s="39" t="b">
        <f t="shared" si="4"/>
        <v>0</v>
      </c>
    </row>
    <row r="17" spans="2:45" s="5" customFormat="1" ht="14.25" customHeight="1" x14ac:dyDescent="0.25">
      <c r="B17" s="158" t="s">
        <v>81</v>
      </c>
      <c r="C17" s="34"/>
      <c r="D17" s="10"/>
      <c r="E17" s="10"/>
      <c r="F17" s="45">
        <f t="shared" si="0"/>
        <v>0</v>
      </c>
      <c r="G17" s="27"/>
      <c r="H17" s="9"/>
      <c r="I17" s="46">
        <f t="shared" si="5"/>
        <v>0</v>
      </c>
      <c r="J17" s="47" t="s">
        <v>169</v>
      </c>
      <c r="K17" s="48">
        <f>1.1</f>
        <v>1.1000000000000001</v>
      </c>
      <c r="L17" s="9"/>
      <c r="M17" s="47" t="s">
        <v>272</v>
      </c>
      <c r="N17" s="48" t="str">
        <f t="shared" si="6"/>
        <v/>
      </c>
      <c r="O17" s="49">
        <f t="shared" si="7"/>
        <v>0</v>
      </c>
      <c r="P17" s="50" t="str">
        <f t="shared" si="1"/>
        <v/>
      </c>
      <c r="Q17" s="165">
        <f t="shared" si="8"/>
        <v>0</v>
      </c>
      <c r="R17" s="165">
        <f t="shared" si="8"/>
        <v>0</v>
      </c>
      <c r="S17" s="165">
        <f t="shared" si="8"/>
        <v>0</v>
      </c>
      <c r="U17" s="163">
        <f t="shared" si="2"/>
        <v>0</v>
      </c>
      <c r="V17" s="163">
        <f t="shared" si="2"/>
        <v>0</v>
      </c>
      <c r="W17" s="163">
        <f t="shared" si="2"/>
        <v>0</v>
      </c>
      <c r="X17" s="163">
        <f t="shared" si="3"/>
        <v>0</v>
      </c>
      <c r="Y17" s="163">
        <f t="shared" si="3"/>
        <v>0</v>
      </c>
      <c r="Z17" s="163">
        <f t="shared" si="3"/>
        <v>0</v>
      </c>
      <c r="AA17" s="163">
        <f t="shared" si="9"/>
        <v>0</v>
      </c>
      <c r="AB17" s="163">
        <f t="shared" si="9"/>
        <v>0</v>
      </c>
      <c r="AC17" s="163">
        <f t="shared" si="9"/>
        <v>0</v>
      </c>
      <c r="AE17" s="51" t="s">
        <v>137</v>
      </c>
      <c r="AF17" s="55">
        <v>0.86</v>
      </c>
      <c r="AG17" s="33">
        <v>18.600000000000001</v>
      </c>
      <c r="AH17" s="33">
        <v>4</v>
      </c>
      <c r="AI17" s="33">
        <v>5.0999999999999996</v>
      </c>
      <c r="AJ17" s="191" t="s">
        <v>131</v>
      </c>
      <c r="AK17" s="56">
        <v>0.91</v>
      </c>
      <c r="AL17" s="53">
        <v>6.2</v>
      </c>
      <c r="AM17" s="53">
        <v>1.6</v>
      </c>
      <c r="AN17" s="53">
        <v>19</v>
      </c>
      <c r="AP17" s="54"/>
      <c r="AQ17" s="54"/>
      <c r="AS17" s="39" t="b">
        <f t="shared" si="4"/>
        <v>0</v>
      </c>
    </row>
    <row r="18" spans="2:45" s="5" customFormat="1" ht="14.25" customHeight="1" x14ac:dyDescent="0.25">
      <c r="B18" s="158" t="s">
        <v>82</v>
      </c>
      <c r="C18" s="34"/>
      <c r="D18" s="10"/>
      <c r="E18" s="10"/>
      <c r="F18" s="45">
        <f t="shared" si="0"/>
        <v>0</v>
      </c>
      <c r="G18" s="27"/>
      <c r="H18" s="9"/>
      <c r="I18" s="46">
        <f t="shared" si="5"/>
        <v>0</v>
      </c>
      <c r="J18" s="47" t="s">
        <v>169</v>
      </c>
      <c r="K18" s="48">
        <f>0.9</f>
        <v>0.9</v>
      </c>
      <c r="L18" s="9"/>
      <c r="M18" s="47" t="s">
        <v>272</v>
      </c>
      <c r="N18" s="48" t="str">
        <f t="shared" si="6"/>
        <v/>
      </c>
      <c r="O18" s="49">
        <f t="shared" si="7"/>
        <v>0</v>
      </c>
      <c r="P18" s="50" t="str">
        <f t="shared" si="1"/>
        <v/>
      </c>
      <c r="Q18" s="165">
        <f t="shared" si="8"/>
        <v>0</v>
      </c>
      <c r="R18" s="165">
        <f t="shared" si="8"/>
        <v>0</v>
      </c>
      <c r="S18" s="165">
        <f t="shared" si="8"/>
        <v>0</v>
      </c>
      <c r="U18" s="163">
        <f t="shared" si="2"/>
        <v>0</v>
      </c>
      <c r="V18" s="163">
        <f t="shared" si="2"/>
        <v>0</v>
      </c>
      <c r="W18" s="163">
        <f t="shared" si="2"/>
        <v>0</v>
      </c>
      <c r="X18" s="163">
        <f t="shared" si="3"/>
        <v>0</v>
      </c>
      <c r="Y18" s="163">
        <f t="shared" si="3"/>
        <v>0</v>
      </c>
      <c r="Z18" s="163">
        <f t="shared" si="3"/>
        <v>0</v>
      </c>
      <c r="AA18" s="163">
        <f t="shared" si="9"/>
        <v>0</v>
      </c>
      <c r="AB18" s="163">
        <f t="shared" si="9"/>
        <v>0</v>
      </c>
      <c r="AC18" s="163">
        <f t="shared" si="9"/>
        <v>0</v>
      </c>
      <c r="AE18" s="51" t="s">
        <v>137</v>
      </c>
      <c r="AF18" s="55">
        <v>0.86</v>
      </c>
      <c r="AG18" s="33">
        <v>17.899999999999999</v>
      </c>
      <c r="AH18" s="33">
        <v>3.9</v>
      </c>
      <c r="AI18" s="33">
        <v>4.5999999999999996</v>
      </c>
      <c r="AJ18" s="191" t="s">
        <v>131</v>
      </c>
      <c r="AK18" s="56">
        <v>0.91</v>
      </c>
      <c r="AL18" s="53">
        <v>5.9</v>
      </c>
      <c r="AM18" s="53">
        <v>1</v>
      </c>
      <c r="AN18" s="53">
        <v>13.4</v>
      </c>
      <c r="AP18" s="54"/>
      <c r="AQ18" s="54"/>
      <c r="AS18" s="39" t="b">
        <f t="shared" si="4"/>
        <v>0</v>
      </c>
    </row>
    <row r="19" spans="2:45" s="5" customFormat="1" ht="14.25" customHeight="1" x14ac:dyDescent="0.25">
      <c r="B19" s="158" t="s">
        <v>83</v>
      </c>
      <c r="C19" s="34"/>
      <c r="D19" s="10"/>
      <c r="E19" s="10"/>
      <c r="F19" s="45">
        <f t="shared" si="0"/>
        <v>0</v>
      </c>
      <c r="G19" s="27"/>
      <c r="H19" s="9"/>
      <c r="I19" s="46">
        <f t="shared" si="5"/>
        <v>0</v>
      </c>
      <c r="J19" s="47" t="s">
        <v>169</v>
      </c>
      <c r="K19" s="48">
        <v>1</v>
      </c>
      <c r="L19" s="9"/>
      <c r="M19" s="47" t="s">
        <v>272</v>
      </c>
      <c r="N19" s="48" t="str">
        <f t="shared" si="6"/>
        <v/>
      </c>
      <c r="O19" s="49">
        <f t="shared" si="7"/>
        <v>0</v>
      </c>
      <c r="P19" s="50" t="str">
        <f t="shared" si="1"/>
        <v/>
      </c>
      <c r="Q19" s="165">
        <f t="shared" si="8"/>
        <v>0</v>
      </c>
      <c r="R19" s="165">
        <f t="shared" si="8"/>
        <v>0</v>
      </c>
      <c r="S19" s="165">
        <f t="shared" si="8"/>
        <v>0</v>
      </c>
      <c r="U19" s="163">
        <f t="shared" si="2"/>
        <v>0</v>
      </c>
      <c r="V19" s="163">
        <f t="shared" si="2"/>
        <v>0</v>
      </c>
      <c r="W19" s="163">
        <f t="shared" si="2"/>
        <v>0</v>
      </c>
      <c r="X19" s="163">
        <f t="shared" si="3"/>
        <v>0</v>
      </c>
      <c r="Y19" s="163">
        <f t="shared" si="3"/>
        <v>0</v>
      </c>
      <c r="Z19" s="163">
        <f t="shared" si="3"/>
        <v>0</v>
      </c>
      <c r="AA19" s="163">
        <f t="shared" si="9"/>
        <v>0</v>
      </c>
      <c r="AB19" s="163">
        <f t="shared" si="9"/>
        <v>0</v>
      </c>
      <c r="AC19" s="163">
        <f t="shared" si="9"/>
        <v>0</v>
      </c>
      <c r="AE19" s="51" t="s">
        <v>137</v>
      </c>
      <c r="AF19" s="55">
        <v>0.86</v>
      </c>
      <c r="AG19" s="33">
        <v>15.8</v>
      </c>
      <c r="AH19" s="33">
        <v>3.5</v>
      </c>
      <c r="AI19" s="33">
        <v>4.5999999999999996</v>
      </c>
      <c r="AJ19" s="191" t="s">
        <v>131</v>
      </c>
      <c r="AK19" s="56">
        <v>0.91</v>
      </c>
      <c r="AL19" s="53">
        <v>9.5</v>
      </c>
      <c r="AM19" s="53">
        <v>1.2</v>
      </c>
      <c r="AN19" s="53">
        <v>17.100000000000001</v>
      </c>
      <c r="AP19" s="54"/>
      <c r="AQ19" s="54"/>
      <c r="AS19" s="39" t="b">
        <f t="shared" si="4"/>
        <v>0</v>
      </c>
    </row>
    <row r="20" spans="2:45" s="5" customFormat="1" ht="14.25" customHeight="1" x14ac:dyDescent="0.25">
      <c r="B20" s="158" t="s">
        <v>165</v>
      </c>
      <c r="C20" s="34"/>
      <c r="D20" s="10"/>
      <c r="E20" s="10"/>
      <c r="F20" s="45">
        <f t="shared" si="0"/>
        <v>0</v>
      </c>
      <c r="G20" s="27"/>
      <c r="H20" s="9"/>
      <c r="I20" s="46">
        <f t="shared" si="5"/>
        <v>0</v>
      </c>
      <c r="J20" s="47" t="s">
        <v>169</v>
      </c>
      <c r="K20" s="48">
        <v>0.5</v>
      </c>
      <c r="L20" s="9"/>
      <c r="M20" s="47" t="s">
        <v>272</v>
      </c>
      <c r="N20" s="48" t="str">
        <f t="shared" si="6"/>
        <v/>
      </c>
      <c r="O20" s="49">
        <f t="shared" si="7"/>
        <v>0</v>
      </c>
      <c r="P20" s="50" t="str">
        <f t="shared" si="1"/>
        <v/>
      </c>
      <c r="Q20" s="165">
        <f t="shared" si="8"/>
        <v>0</v>
      </c>
      <c r="R20" s="165">
        <f t="shared" si="8"/>
        <v>0</v>
      </c>
      <c r="S20" s="165">
        <f t="shared" si="8"/>
        <v>0</v>
      </c>
      <c r="U20" s="163">
        <f t="shared" si="2"/>
        <v>0</v>
      </c>
      <c r="V20" s="163">
        <f t="shared" si="2"/>
        <v>0</v>
      </c>
      <c r="W20" s="163">
        <f t="shared" si="2"/>
        <v>0</v>
      </c>
      <c r="X20" s="163">
        <f t="shared" si="3"/>
        <v>0</v>
      </c>
      <c r="Y20" s="163">
        <f t="shared" si="3"/>
        <v>0</v>
      </c>
      <c r="Z20" s="163">
        <f t="shared" si="3"/>
        <v>0</v>
      </c>
      <c r="AA20" s="163">
        <f t="shared" si="9"/>
        <v>0</v>
      </c>
      <c r="AB20" s="163">
        <f t="shared" si="9"/>
        <v>0</v>
      </c>
      <c r="AC20" s="163">
        <f t="shared" si="9"/>
        <v>0</v>
      </c>
      <c r="AE20" s="51" t="s">
        <v>137</v>
      </c>
      <c r="AF20" s="55">
        <v>0.91</v>
      </c>
      <c r="AG20" s="33">
        <v>17.899999999999999</v>
      </c>
      <c r="AH20" s="33">
        <v>2.8</v>
      </c>
      <c r="AI20" s="33">
        <v>3.3</v>
      </c>
      <c r="AJ20" s="191" t="s">
        <v>131</v>
      </c>
      <c r="AK20" s="56">
        <v>0.92</v>
      </c>
      <c r="AL20" s="53">
        <v>6.2</v>
      </c>
      <c r="AM20" s="53">
        <v>0.7</v>
      </c>
      <c r="AN20" s="53">
        <v>10.3</v>
      </c>
      <c r="AP20" s="54"/>
      <c r="AQ20" s="54"/>
      <c r="AS20" s="39" t="b">
        <f t="shared" si="4"/>
        <v>0</v>
      </c>
    </row>
    <row r="21" spans="2:45" s="5" customFormat="1" ht="14.25" customHeight="1" x14ac:dyDescent="0.25">
      <c r="B21" s="158" t="s">
        <v>432</v>
      </c>
      <c r="C21" s="34"/>
      <c r="D21" s="10"/>
      <c r="E21" s="10"/>
      <c r="F21" s="45">
        <f t="shared" si="0"/>
        <v>0</v>
      </c>
      <c r="G21" s="27"/>
      <c r="H21" s="9"/>
      <c r="I21" s="46">
        <f t="shared" si="5"/>
        <v>0</v>
      </c>
      <c r="J21" s="47" t="s">
        <v>169</v>
      </c>
      <c r="K21" s="48">
        <v>1</v>
      </c>
      <c r="L21" s="9"/>
      <c r="M21" s="47" t="s">
        <v>272</v>
      </c>
      <c r="N21" s="48" t="str">
        <f t="shared" si="6"/>
        <v/>
      </c>
      <c r="O21" s="49">
        <f t="shared" si="7"/>
        <v>0</v>
      </c>
      <c r="P21" s="200" t="str">
        <f t="shared" si="1"/>
        <v/>
      </c>
      <c r="Q21" s="165">
        <f t="shared" si="8"/>
        <v>0</v>
      </c>
      <c r="R21" s="165">
        <f t="shared" si="8"/>
        <v>0</v>
      </c>
      <c r="S21" s="165">
        <f t="shared" si="8"/>
        <v>0</v>
      </c>
      <c r="U21" s="163">
        <f t="shared" si="2"/>
        <v>0</v>
      </c>
      <c r="V21" s="163">
        <f t="shared" si="2"/>
        <v>0</v>
      </c>
      <c r="W21" s="163">
        <f t="shared" si="2"/>
        <v>0</v>
      </c>
      <c r="X21" s="163">
        <f t="shared" si="3"/>
        <v>0</v>
      </c>
      <c r="Y21" s="163">
        <f t="shared" si="3"/>
        <v>0</v>
      </c>
      <c r="Z21" s="163">
        <f t="shared" si="3"/>
        <v>0</v>
      </c>
      <c r="AA21" s="163">
        <f t="shared" si="9"/>
        <v>0</v>
      </c>
      <c r="AB21" s="163">
        <f t="shared" si="9"/>
        <v>0</v>
      </c>
      <c r="AC21" s="163">
        <f t="shared" si="9"/>
        <v>0</v>
      </c>
      <c r="AE21" s="51" t="s">
        <v>137</v>
      </c>
      <c r="AF21" s="55">
        <v>0.86</v>
      </c>
      <c r="AG21" s="201">
        <v>18</v>
      </c>
      <c r="AH21" s="201">
        <v>3</v>
      </c>
      <c r="AI21" s="201">
        <v>4</v>
      </c>
      <c r="AJ21" s="191" t="s">
        <v>131</v>
      </c>
      <c r="AK21" s="56">
        <v>0.91</v>
      </c>
      <c r="AL21" s="202">
        <v>5</v>
      </c>
      <c r="AM21" s="202">
        <v>1</v>
      </c>
      <c r="AN21" s="202">
        <v>12</v>
      </c>
      <c r="AP21" s="54"/>
      <c r="AQ21" s="54"/>
      <c r="AS21" s="203" t="b">
        <f t="shared" si="4"/>
        <v>0</v>
      </c>
    </row>
    <row r="22" spans="2:45" s="5" customFormat="1" ht="14.25" customHeight="1" x14ac:dyDescent="0.25">
      <c r="B22" s="158" t="s">
        <v>431</v>
      </c>
      <c r="C22" s="34"/>
      <c r="D22" s="10"/>
      <c r="E22" s="10"/>
      <c r="F22" s="45">
        <f t="shared" si="0"/>
        <v>0</v>
      </c>
      <c r="G22" s="27"/>
      <c r="H22" s="9"/>
      <c r="I22" s="46">
        <f t="shared" si="5"/>
        <v>0</v>
      </c>
      <c r="J22" s="47" t="s">
        <v>169</v>
      </c>
      <c r="K22" s="48">
        <v>2</v>
      </c>
      <c r="L22" s="9"/>
      <c r="M22" s="47" t="s">
        <v>272</v>
      </c>
      <c r="N22" s="48" t="str">
        <f t="shared" si="6"/>
        <v/>
      </c>
      <c r="O22" s="49">
        <f t="shared" si="7"/>
        <v>0</v>
      </c>
      <c r="P22" s="200" t="str">
        <f t="shared" si="1"/>
        <v/>
      </c>
      <c r="Q22" s="165">
        <f t="shared" si="8"/>
        <v>0</v>
      </c>
      <c r="R22" s="165">
        <f t="shared" si="8"/>
        <v>0</v>
      </c>
      <c r="S22" s="165">
        <f t="shared" si="8"/>
        <v>0</v>
      </c>
      <c r="U22" s="163">
        <f t="shared" si="2"/>
        <v>0</v>
      </c>
      <c r="V22" s="163">
        <f t="shared" si="2"/>
        <v>0</v>
      </c>
      <c r="W22" s="163">
        <f t="shared" si="2"/>
        <v>0</v>
      </c>
      <c r="X22" s="163">
        <f t="shared" si="3"/>
        <v>0</v>
      </c>
      <c r="Y22" s="163">
        <f t="shared" si="3"/>
        <v>0</v>
      </c>
      <c r="Z22" s="163">
        <f t="shared" si="3"/>
        <v>0</v>
      </c>
      <c r="AA22" s="163">
        <f t="shared" si="9"/>
        <v>0</v>
      </c>
      <c r="AB22" s="163">
        <f t="shared" si="9"/>
        <v>0</v>
      </c>
      <c r="AC22" s="163">
        <f t="shared" si="9"/>
        <v>0</v>
      </c>
      <c r="AE22" s="51" t="s">
        <v>137</v>
      </c>
      <c r="AF22" s="55">
        <v>0.86</v>
      </c>
      <c r="AG22" s="201">
        <v>20.7</v>
      </c>
      <c r="AH22" s="201">
        <v>3.4</v>
      </c>
      <c r="AI22" s="201">
        <v>6.5</v>
      </c>
      <c r="AJ22" s="191" t="s">
        <v>131</v>
      </c>
      <c r="AK22" s="56">
        <v>0.91</v>
      </c>
      <c r="AL22" s="202">
        <v>11.4</v>
      </c>
      <c r="AM22" s="202">
        <v>3.1</v>
      </c>
      <c r="AN22" s="202">
        <v>20.6</v>
      </c>
      <c r="AP22" s="54"/>
      <c r="AQ22" s="54"/>
      <c r="AS22" s="203" t="b">
        <f t="shared" si="4"/>
        <v>0</v>
      </c>
    </row>
    <row r="23" spans="2:45" s="5" customFormat="1" ht="14.25" customHeight="1" x14ac:dyDescent="0.25">
      <c r="B23" s="158" t="s">
        <v>262</v>
      </c>
      <c r="C23" s="34"/>
      <c r="D23" s="10"/>
      <c r="E23" s="10"/>
      <c r="F23" s="45">
        <f t="shared" si="0"/>
        <v>0</v>
      </c>
      <c r="G23" s="27"/>
      <c r="H23" s="9"/>
      <c r="I23" s="46">
        <f t="shared" si="5"/>
        <v>0</v>
      </c>
      <c r="J23" s="47" t="s">
        <v>169</v>
      </c>
      <c r="K23" s="48">
        <v>1</v>
      </c>
      <c r="L23" s="9"/>
      <c r="M23" s="47" t="s">
        <v>272</v>
      </c>
      <c r="N23" s="48" t="str">
        <f t="shared" si="6"/>
        <v/>
      </c>
      <c r="O23" s="49">
        <f t="shared" si="7"/>
        <v>0</v>
      </c>
      <c r="P23" s="50" t="str">
        <f t="shared" si="1"/>
        <v/>
      </c>
      <c r="Q23" s="165">
        <f t="shared" si="8"/>
        <v>0</v>
      </c>
      <c r="R23" s="165">
        <f t="shared" si="8"/>
        <v>0</v>
      </c>
      <c r="S23" s="165">
        <f t="shared" si="8"/>
        <v>0</v>
      </c>
      <c r="U23" s="163">
        <f t="shared" si="2"/>
        <v>0</v>
      </c>
      <c r="V23" s="163">
        <f t="shared" si="2"/>
        <v>0</v>
      </c>
      <c r="W23" s="163">
        <f t="shared" si="2"/>
        <v>0</v>
      </c>
      <c r="X23" s="163">
        <f t="shared" si="3"/>
        <v>0</v>
      </c>
      <c r="Y23" s="163">
        <f t="shared" si="3"/>
        <v>0</v>
      </c>
      <c r="Z23" s="163">
        <f t="shared" si="3"/>
        <v>0</v>
      </c>
      <c r="AA23" s="163">
        <f t="shared" si="9"/>
        <v>0</v>
      </c>
      <c r="AB23" s="163">
        <f t="shared" si="9"/>
        <v>0</v>
      </c>
      <c r="AC23" s="163">
        <f t="shared" si="9"/>
        <v>0</v>
      </c>
      <c r="AE23" s="51" t="s">
        <v>137</v>
      </c>
      <c r="AF23" s="55">
        <v>0.86</v>
      </c>
      <c r="AG23" s="33">
        <v>35.9</v>
      </c>
      <c r="AH23" s="33">
        <v>3.6</v>
      </c>
      <c r="AI23" s="33">
        <v>8.4</v>
      </c>
      <c r="AJ23" s="191" t="s">
        <v>131</v>
      </c>
      <c r="AK23" s="56">
        <v>0.86</v>
      </c>
      <c r="AL23" s="53">
        <v>15.1</v>
      </c>
      <c r="AM23" s="53">
        <v>1.5</v>
      </c>
      <c r="AN23" s="53">
        <v>15.1</v>
      </c>
      <c r="AP23" s="127">
        <v>120</v>
      </c>
      <c r="AQ23" s="57">
        <f>D23*AP23</f>
        <v>0</v>
      </c>
      <c r="AS23" s="39" t="b">
        <f t="shared" si="4"/>
        <v>0</v>
      </c>
    </row>
    <row r="24" spans="2:45" s="5" customFormat="1" ht="14.25" customHeight="1" x14ac:dyDescent="0.25">
      <c r="B24" s="158" t="s">
        <v>88</v>
      </c>
      <c r="C24" s="34"/>
      <c r="D24" s="10"/>
      <c r="E24" s="10"/>
      <c r="F24" s="45">
        <f t="shared" si="0"/>
        <v>0</v>
      </c>
      <c r="G24" s="27"/>
      <c r="H24" s="9"/>
      <c r="I24" s="46">
        <f t="shared" si="5"/>
        <v>0</v>
      </c>
      <c r="J24" s="47" t="s">
        <v>169</v>
      </c>
      <c r="K24" s="48">
        <v>1</v>
      </c>
      <c r="L24" s="9"/>
      <c r="M24" s="47" t="s">
        <v>272</v>
      </c>
      <c r="N24" s="48" t="str">
        <f t="shared" si="6"/>
        <v/>
      </c>
      <c r="O24" s="49">
        <f t="shared" si="7"/>
        <v>0</v>
      </c>
      <c r="P24" s="50" t="str">
        <f t="shared" si="1"/>
        <v/>
      </c>
      <c r="Q24" s="165">
        <f t="shared" si="8"/>
        <v>0</v>
      </c>
      <c r="R24" s="165">
        <f t="shared" si="8"/>
        <v>0</v>
      </c>
      <c r="S24" s="165">
        <f t="shared" si="8"/>
        <v>0</v>
      </c>
      <c r="U24" s="163">
        <f t="shared" si="2"/>
        <v>0</v>
      </c>
      <c r="V24" s="163">
        <f t="shared" si="2"/>
        <v>0</v>
      </c>
      <c r="W24" s="163">
        <f t="shared" si="2"/>
        <v>0</v>
      </c>
      <c r="X24" s="163">
        <f t="shared" si="3"/>
        <v>0</v>
      </c>
      <c r="Y24" s="163">
        <f t="shared" si="3"/>
        <v>0</v>
      </c>
      <c r="Z24" s="163">
        <f t="shared" si="3"/>
        <v>0</v>
      </c>
      <c r="AA24" s="163">
        <f t="shared" si="9"/>
        <v>0</v>
      </c>
      <c r="AB24" s="163">
        <f t="shared" si="9"/>
        <v>0</v>
      </c>
      <c r="AC24" s="163">
        <f t="shared" si="9"/>
        <v>0</v>
      </c>
      <c r="AE24" s="51" t="s">
        <v>137</v>
      </c>
      <c r="AF24" s="55">
        <v>0.86</v>
      </c>
      <c r="AG24" s="33">
        <v>55.6</v>
      </c>
      <c r="AH24" s="33">
        <v>7</v>
      </c>
      <c r="AI24" s="33">
        <v>13.1</v>
      </c>
      <c r="AJ24" s="191" t="s">
        <v>131</v>
      </c>
      <c r="AK24" s="56">
        <v>0.86</v>
      </c>
      <c r="AL24" s="53">
        <v>12.1</v>
      </c>
      <c r="AM24" s="53">
        <v>1.6</v>
      </c>
      <c r="AN24" s="53">
        <v>15.6</v>
      </c>
      <c r="AP24" s="127">
        <v>80</v>
      </c>
      <c r="AQ24" s="57">
        <f>D24*AP24</f>
        <v>0</v>
      </c>
      <c r="AS24" s="39" t="b">
        <f t="shared" si="4"/>
        <v>0</v>
      </c>
    </row>
    <row r="25" spans="2:45" s="5" customFormat="1" ht="14.25" customHeight="1" x14ac:dyDescent="0.25">
      <c r="B25" s="158" t="s">
        <v>263</v>
      </c>
      <c r="C25" s="34"/>
      <c r="D25" s="10"/>
      <c r="E25" s="10"/>
      <c r="F25" s="45">
        <f t="shared" si="0"/>
        <v>0</v>
      </c>
      <c r="G25" s="27"/>
      <c r="H25" s="9"/>
      <c r="I25" s="46">
        <f t="shared" si="5"/>
        <v>0</v>
      </c>
      <c r="J25" s="47" t="s">
        <v>169</v>
      </c>
      <c r="K25" s="48">
        <v>0.9</v>
      </c>
      <c r="L25" s="9"/>
      <c r="M25" s="47" t="s">
        <v>272</v>
      </c>
      <c r="N25" s="48" t="str">
        <f t="shared" si="6"/>
        <v/>
      </c>
      <c r="O25" s="49">
        <f t="shared" si="7"/>
        <v>0</v>
      </c>
      <c r="P25" s="50" t="str">
        <f t="shared" si="1"/>
        <v/>
      </c>
      <c r="Q25" s="165">
        <f t="shared" si="8"/>
        <v>0</v>
      </c>
      <c r="R25" s="165">
        <f t="shared" si="8"/>
        <v>0</v>
      </c>
      <c r="S25" s="165">
        <f t="shared" si="8"/>
        <v>0</v>
      </c>
      <c r="U25" s="163">
        <f t="shared" si="2"/>
        <v>0</v>
      </c>
      <c r="V25" s="163">
        <f t="shared" si="2"/>
        <v>0</v>
      </c>
      <c r="W25" s="163">
        <f t="shared" si="2"/>
        <v>0</v>
      </c>
      <c r="X25" s="163">
        <f t="shared" si="3"/>
        <v>0</v>
      </c>
      <c r="Y25" s="163">
        <f t="shared" si="3"/>
        <v>0</v>
      </c>
      <c r="Z25" s="163">
        <f t="shared" si="3"/>
        <v>0</v>
      </c>
      <c r="AA25" s="163">
        <f t="shared" si="9"/>
        <v>0</v>
      </c>
      <c r="AB25" s="163">
        <f t="shared" si="9"/>
        <v>0</v>
      </c>
      <c r="AC25" s="163">
        <f t="shared" si="9"/>
        <v>0</v>
      </c>
      <c r="AE25" s="51" t="s">
        <v>137</v>
      </c>
      <c r="AF25" s="55">
        <v>0.86</v>
      </c>
      <c r="AG25" s="33">
        <v>42.4</v>
      </c>
      <c r="AH25" s="33">
        <v>4.5999999999999996</v>
      </c>
      <c r="AI25" s="33">
        <v>10.199999999999999</v>
      </c>
      <c r="AJ25" s="191" t="s">
        <v>131</v>
      </c>
      <c r="AK25" s="56">
        <v>0.86</v>
      </c>
      <c r="AL25" s="53">
        <v>10.5</v>
      </c>
      <c r="AM25" s="53">
        <v>0.8</v>
      </c>
      <c r="AN25" s="53">
        <v>11.3</v>
      </c>
      <c r="AP25" s="127">
        <v>120</v>
      </c>
      <c r="AQ25" s="57">
        <f>D25*AP25</f>
        <v>0</v>
      </c>
      <c r="AS25" s="39" t="b">
        <f t="shared" si="4"/>
        <v>0</v>
      </c>
    </row>
    <row r="26" spans="2:45" s="5" customFormat="1" ht="14.25" customHeight="1" x14ac:dyDescent="0.25">
      <c r="B26" s="158" t="s">
        <v>435</v>
      </c>
      <c r="C26" s="34"/>
      <c r="D26" s="10"/>
      <c r="E26" s="10"/>
      <c r="F26" s="45">
        <f t="shared" si="0"/>
        <v>0</v>
      </c>
      <c r="G26" s="27"/>
      <c r="H26" s="9"/>
      <c r="I26" s="46">
        <f t="shared" si="5"/>
        <v>0</v>
      </c>
      <c r="J26" s="47" t="s">
        <v>169</v>
      </c>
      <c r="K26" s="48">
        <v>1</v>
      </c>
      <c r="L26" s="9"/>
      <c r="M26" s="47" t="s">
        <v>272</v>
      </c>
      <c r="N26" s="48" t="str">
        <f t="shared" si="6"/>
        <v/>
      </c>
      <c r="O26" s="49">
        <f t="shared" si="7"/>
        <v>0</v>
      </c>
      <c r="P26" s="50" t="str">
        <f t="shared" si="1"/>
        <v/>
      </c>
      <c r="Q26" s="165">
        <f t="shared" si="8"/>
        <v>0</v>
      </c>
      <c r="R26" s="165">
        <f t="shared" si="8"/>
        <v>0</v>
      </c>
      <c r="S26" s="165">
        <f t="shared" si="8"/>
        <v>0</v>
      </c>
      <c r="U26" s="163">
        <f t="shared" si="2"/>
        <v>0</v>
      </c>
      <c r="V26" s="163">
        <f t="shared" si="2"/>
        <v>0</v>
      </c>
      <c r="W26" s="163">
        <f t="shared" si="2"/>
        <v>0</v>
      </c>
      <c r="X26" s="163">
        <f t="shared" si="3"/>
        <v>0</v>
      </c>
      <c r="Y26" s="163">
        <f t="shared" si="3"/>
        <v>0</v>
      </c>
      <c r="Z26" s="163">
        <f t="shared" si="3"/>
        <v>0</v>
      </c>
      <c r="AA26" s="163">
        <f t="shared" si="9"/>
        <v>0</v>
      </c>
      <c r="AB26" s="163">
        <f t="shared" si="9"/>
        <v>0</v>
      </c>
      <c r="AC26" s="163">
        <f t="shared" si="9"/>
        <v>0</v>
      </c>
      <c r="AE26" s="51" t="s">
        <v>137</v>
      </c>
      <c r="AF26" s="55">
        <v>0.86</v>
      </c>
      <c r="AG26" s="33">
        <v>40</v>
      </c>
      <c r="AH26" s="33">
        <v>4</v>
      </c>
      <c r="AI26" s="33">
        <v>10</v>
      </c>
      <c r="AJ26" s="191" t="s">
        <v>131</v>
      </c>
      <c r="AK26" s="56">
        <v>0.86</v>
      </c>
      <c r="AL26" s="53">
        <v>10</v>
      </c>
      <c r="AM26" s="53">
        <v>1</v>
      </c>
      <c r="AN26" s="53">
        <v>11</v>
      </c>
      <c r="AP26" s="127">
        <v>80</v>
      </c>
      <c r="AQ26" s="57">
        <f>D26*AP26</f>
        <v>0</v>
      </c>
      <c r="AS26" s="39" t="b">
        <f t="shared" si="4"/>
        <v>0</v>
      </c>
    </row>
    <row r="27" spans="2:45" s="5" customFormat="1" ht="14.25" customHeight="1" x14ac:dyDescent="0.25">
      <c r="B27" s="689" t="s">
        <v>184</v>
      </c>
      <c r="C27" s="31" t="s">
        <v>182</v>
      </c>
      <c r="D27" s="10"/>
      <c r="E27" s="10"/>
      <c r="F27" s="45">
        <f t="shared" si="0"/>
        <v>0</v>
      </c>
      <c r="G27" s="27"/>
      <c r="H27" s="58"/>
      <c r="I27" s="59"/>
      <c r="J27" s="60"/>
      <c r="K27" s="61"/>
      <c r="L27" s="58"/>
      <c r="M27" s="60"/>
      <c r="N27" s="61"/>
      <c r="O27" s="62"/>
      <c r="P27" s="63" t="str">
        <f>IF(O27&lt;0,"!","")</f>
        <v/>
      </c>
      <c r="Q27" s="165">
        <f t="shared" si="8"/>
        <v>0</v>
      </c>
      <c r="R27" s="165">
        <f t="shared" si="8"/>
        <v>0</v>
      </c>
      <c r="S27" s="165">
        <f t="shared" si="8"/>
        <v>0</v>
      </c>
      <c r="U27" s="163">
        <f t="shared" si="2"/>
        <v>0</v>
      </c>
      <c r="V27" s="163">
        <f t="shared" si="2"/>
        <v>0</v>
      </c>
      <c r="W27" s="163">
        <f t="shared" si="2"/>
        <v>0</v>
      </c>
      <c r="X27" s="163">
        <f t="shared" si="3"/>
        <v>0</v>
      </c>
      <c r="Y27" s="163">
        <f t="shared" si="3"/>
        <v>0</v>
      </c>
      <c r="Z27" s="163">
        <f t="shared" si="3"/>
        <v>0</v>
      </c>
      <c r="AA27" s="163">
        <f t="shared" si="9"/>
        <v>0</v>
      </c>
      <c r="AB27" s="163">
        <f t="shared" si="9"/>
        <v>0</v>
      </c>
      <c r="AC27" s="163">
        <f t="shared" si="9"/>
        <v>0</v>
      </c>
      <c r="AE27" s="51" t="s">
        <v>138</v>
      </c>
      <c r="AF27" s="55">
        <v>0.18</v>
      </c>
      <c r="AG27" s="33">
        <v>3</v>
      </c>
      <c r="AH27" s="33">
        <v>0.5</v>
      </c>
      <c r="AI27" s="33">
        <v>4.4000000000000004</v>
      </c>
      <c r="AJ27" s="191" t="s">
        <v>132</v>
      </c>
      <c r="AK27" s="56">
        <v>0.12</v>
      </c>
      <c r="AL27" s="53">
        <v>2.2999999999999998</v>
      </c>
      <c r="AM27" s="53">
        <v>0.2</v>
      </c>
      <c r="AN27" s="53">
        <v>2.8</v>
      </c>
      <c r="AP27" s="54"/>
      <c r="AQ27" s="54"/>
      <c r="AS27" s="39" t="b">
        <f t="shared" si="4"/>
        <v>0</v>
      </c>
    </row>
    <row r="28" spans="2:45" s="5" customFormat="1" ht="14.25" customHeight="1" x14ac:dyDescent="0.25">
      <c r="B28" s="690"/>
      <c r="C28" s="31" t="s">
        <v>101</v>
      </c>
      <c r="D28" s="10"/>
      <c r="E28" s="10"/>
      <c r="F28" s="45">
        <f t="shared" si="0"/>
        <v>0</v>
      </c>
      <c r="G28" s="27"/>
      <c r="H28" s="58"/>
      <c r="I28" s="59"/>
      <c r="J28" s="60"/>
      <c r="K28" s="61"/>
      <c r="L28" s="58"/>
      <c r="M28" s="60"/>
      <c r="N28" s="61"/>
      <c r="O28" s="62"/>
      <c r="P28" s="63" t="str">
        <f>IF(O28&lt;0,"!","")</f>
        <v/>
      </c>
      <c r="Q28" s="165">
        <f t="shared" si="8"/>
        <v>0</v>
      </c>
      <c r="R28" s="165">
        <f t="shared" si="8"/>
        <v>0</v>
      </c>
      <c r="S28" s="165">
        <f t="shared" si="8"/>
        <v>0</v>
      </c>
      <c r="U28" s="163">
        <f t="shared" si="2"/>
        <v>0</v>
      </c>
      <c r="V28" s="163">
        <f t="shared" si="2"/>
        <v>0</v>
      </c>
      <c r="W28" s="163">
        <f t="shared" si="2"/>
        <v>0</v>
      </c>
      <c r="X28" s="163">
        <f t="shared" si="3"/>
        <v>0</v>
      </c>
      <c r="Y28" s="163">
        <f t="shared" si="3"/>
        <v>0</v>
      </c>
      <c r="Z28" s="163">
        <f t="shared" si="3"/>
        <v>0</v>
      </c>
      <c r="AA28" s="163">
        <f t="shared" si="9"/>
        <v>0</v>
      </c>
      <c r="AB28" s="163">
        <f t="shared" si="9"/>
        <v>0</v>
      </c>
      <c r="AC28" s="163">
        <f t="shared" si="9"/>
        <v>0</v>
      </c>
      <c r="AE28" s="51" t="s">
        <v>138</v>
      </c>
      <c r="AF28" s="55">
        <v>0.22</v>
      </c>
      <c r="AG28" s="33">
        <v>3.5</v>
      </c>
      <c r="AH28" s="33">
        <v>0.5</v>
      </c>
      <c r="AI28" s="33">
        <v>4.5</v>
      </c>
      <c r="AJ28" s="191" t="s">
        <v>132</v>
      </c>
      <c r="AK28" s="56">
        <v>0.15</v>
      </c>
      <c r="AL28" s="53">
        <v>2.8</v>
      </c>
      <c r="AM28" s="53">
        <v>0.2</v>
      </c>
      <c r="AN28" s="53">
        <v>4</v>
      </c>
      <c r="AP28" s="54"/>
      <c r="AQ28" s="54"/>
      <c r="AS28" s="39" t="b">
        <f t="shared" si="4"/>
        <v>0</v>
      </c>
    </row>
    <row r="29" spans="2:45" s="5" customFormat="1" ht="14.25" customHeight="1" x14ac:dyDescent="0.25">
      <c r="B29" s="158" t="s">
        <v>223</v>
      </c>
      <c r="C29" s="34"/>
      <c r="D29" s="10"/>
      <c r="E29" s="10"/>
      <c r="F29" s="45">
        <f t="shared" si="0"/>
        <v>0</v>
      </c>
      <c r="G29" s="27"/>
      <c r="H29" s="9"/>
      <c r="I29" s="46">
        <f t="shared" ref="I29:I40" si="10">IF(L29=0,IF(F29=0,G29*K29*H29,F29*K29*H29),0)</f>
        <v>0</v>
      </c>
      <c r="J29" s="47" t="s">
        <v>169</v>
      </c>
      <c r="K29" s="48">
        <v>0.4</v>
      </c>
      <c r="L29" s="9"/>
      <c r="M29" s="47" t="s">
        <v>272</v>
      </c>
      <c r="N29" s="48" t="str">
        <f>IF(H29=0,"",IF(F29+G29=0,"",IF(L29=0,0,IF(G29=0,(L29/H29)/F29,(L29/H29)/G29))))</f>
        <v/>
      </c>
      <c r="O29" s="49">
        <f t="shared" ref="O29:O40" si="11">D29-H29</f>
        <v>0</v>
      </c>
      <c r="P29" s="50" t="str">
        <f t="shared" ref="P29:P40" si="12">IF(O29&lt;0,"!",IF(AS29=TRUE,"!",""))</f>
        <v/>
      </c>
      <c r="Q29" s="165">
        <f t="shared" si="8"/>
        <v>0</v>
      </c>
      <c r="R29" s="165">
        <f t="shared" si="8"/>
        <v>0</v>
      </c>
      <c r="S29" s="165">
        <f t="shared" si="8"/>
        <v>0</v>
      </c>
      <c r="U29" s="163">
        <f t="shared" si="2"/>
        <v>0</v>
      </c>
      <c r="V29" s="163">
        <f t="shared" si="2"/>
        <v>0</v>
      </c>
      <c r="W29" s="163">
        <f t="shared" si="2"/>
        <v>0</v>
      </c>
      <c r="X29" s="163">
        <f t="shared" si="3"/>
        <v>0</v>
      </c>
      <c r="Y29" s="163">
        <f t="shared" si="3"/>
        <v>0</v>
      </c>
      <c r="Z29" s="163">
        <f t="shared" si="3"/>
        <v>0</v>
      </c>
      <c r="AA29" s="163">
        <f t="shared" si="9"/>
        <v>0</v>
      </c>
      <c r="AB29" s="163">
        <f t="shared" si="9"/>
        <v>0</v>
      </c>
      <c r="AC29" s="163">
        <f t="shared" si="9"/>
        <v>0</v>
      </c>
      <c r="AE29" s="51" t="s">
        <v>139</v>
      </c>
      <c r="AF29" s="55">
        <v>0.23</v>
      </c>
      <c r="AG29" s="33">
        <v>1.8</v>
      </c>
      <c r="AH29" s="33">
        <v>0.3</v>
      </c>
      <c r="AI29" s="33">
        <v>2</v>
      </c>
      <c r="AJ29" s="191" t="s">
        <v>8</v>
      </c>
      <c r="AK29" s="56">
        <v>0.15</v>
      </c>
      <c r="AL29" s="53">
        <v>4</v>
      </c>
      <c r="AM29" s="53">
        <v>0.4</v>
      </c>
      <c r="AN29" s="53">
        <v>4.5</v>
      </c>
      <c r="AP29" s="54"/>
      <c r="AQ29" s="54"/>
      <c r="AS29" s="39" t="b">
        <f t="shared" si="4"/>
        <v>0</v>
      </c>
    </row>
    <row r="30" spans="2:45" s="5" customFormat="1" ht="14.25" customHeight="1" x14ac:dyDescent="0.25">
      <c r="B30" s="158" t="s">
        <v>224</v>
      </c>
      <c r="C30" s="34"/>
      <c r="D30" s="10"/>
      <c r="E30" s="10"/>
      <c r="F30" s="45">
        <f t="shared" si="0"/>
        <v>0</v>
      </c>
      <c r="G30" s="27"/>
      <c r="H30" s="9"/>
      <c r="I30" s="46">
        <f t="shared" si="10"/>
        <v>0</v>
      </c>
      <c r="J30" s="47" t="s">
        <v>169</v>
      </c>
      <c r="K30" s="48">
        <v>0.4</v>
      </c>
      <c r="L30" s="9"/>
      <c r="M30" s="47" t="s">
        <v>272</v>
      </c>
      <c r="N30" s="48" t="str">
        <f t="shared" ref="N30:N40" si="13">IF(H30=0,"",IF(F30+G30=0,"",IF(L30=0,0,IF(G30=0,(L30/H30)/F30,(L30/H30)/G30))))</f>
        <v/>
      </c>
      <c r="O30" s="49">
        <f t="shared" si="11"/>
        <v>0</v>
      </c>
      <c r="P30" s="50" t="str">
        <f t="shared" si="12"/>
        <v/>
      </c>
      <c r="Q30" s="165">
        <f t="shared" si="8"/>
        <v>0</v>
      </c>
      <c r="R30" s="165">
        <f t="shared" si="8"/>
        <v>0</v>
      </c>
      <c r="S30" s="165">
        <f t="shared" si="8"/>
        <v>0</v>
      </c>
      <c r="U30" s="163">
        <f t="shared" si="2"/>
        <v>0</v>
      </c>
      <c r="V30" s="163">
        <f t="shared" si="2"/>
        <v>0</v>
      </c>
      <c r="W30" s="163">
        <f t="shared" si="2"/>
        <v>0</v>
      </c>
      <c r="X30" s="163">
        <f t="shared" si="3"/>
        <v>0</v>
      </c>
      <c r="Y30" s="163">
        <f t="shared" si="3"/>
        <v>0</v>
      </c>
      <c r="Z30" s="163">
        <f t="shared" si="3"/>
        <v>0</v>
      </c>
      <c r="AA30" s="163">
        <f t="shared" si="9"/>
        <v>0</v>
      </c>
      <c r="AB30" s="163">
        <f t="shared" si="9"/>
        <v>0</v>
      </c>
      <c r="AC30" s="163">
        <f t="shared" si="9"/>
        <v>0</v>
      </c>
      <c r="AE30" s="51" t="s">
        <v>139</v>
      </c>
      <c r="AF30" s="55">
        <v>0.17</v>
      </c>
      <c r="AG30" s="33">
        <v>1.4</v>
      </c>
      <c r="AH30" s="33">
        <v>0.3</v>
      </c>
      <c r="AI30" s="33">
        <v>1.3</v>
      </c>
      <c r="AJ30" s="191" t="s">
        <v>8</v>
      </c>
      <c r="AK30" s="56">
        <v>0.15</v>
      </c>
      <c r="AL30" s="53">
        <v>2.8</v>
      </c>
      <c r="AM30" s="53">
        <v>0.4</v>
      </c>
      <c r="AN30" s="53">
        <v>4</v>
      </c>
      <c r="AP30" s="54"/>
      <c r="AQ30" s="54"/>
      <c r="AS30" s="39" t="b">
        <f t="shared" si="4"/>
        <v>0</v>
      </c>
    </row>
    <row r="31" spans="2:45" s="5" customFormat="1" ht="14.25" customHeight="1" x14ac:dyDescent="0.25">
      <c r="B31" s="158" t="s">
        <v>436</v>
      </c>
      <c r="C31" s="34"/>
      <c r="D31" s="10"/>
      <c r="E31" s="10"/>
      <c r="F31" s="45">
        <f t="shared" si="0"/>
        <v>0</v>
      </c>
      <c r="G31" s="27"/>
      <c r="H31" s="9"/>
      <c r="I31" s="46">
        <f t="shared" si="10"/>
        <v>0</v>
      </c>
      <c r="J31" s="47" t="s">
        <v>169</v>
      </c>
      <c r="K31" s="48">
        <v>0.3</v>
      </c>
      <c r="L31" s="9"/>
      <c r="M31" s="47" t="s">
        <v>272</v>
      </c>
      <c r="N31" s="48" t="str">
        <f t="shared" si="13"/>
        <v/>
      </c>
      <c r="O31" s="49">
        <f t="shared" si="11"/>
        <v>0</v>
      </c>
      <c r="P31" s="50" t="str">
        <f t="shared" si="12"/>
        <v/>
      </c>
      <c r="Q31" s="165">
        <f t="shared" si="8"/>
        <v>0</v>
      </c>
      <c r="R31" s="165">
        <f t="shared" si="8"/>
        <v>0</v>
      </c>
      <c r="S31" s="165">
        <f t="shared" si="8"/>
        <v>0</v>
      </c>
      <c r="U31" s="163">
        <f t="shared" si="2"/>
        <v>0</v>
      </c>
      <c r="V31" s="163">
        <f t="shared" si="2"/>
        <v>0</v>
      </c>
      <c r="W31" s="163">
        <f t="shared" si="2"/>
        <v>0</v>
      </c>
      <c r="X31" s="163">
        <f t="shared" si="3"/>
        <v>0</v>
      </c>
      <c r="Y31" s="163">
        <f t="shared" si="3"/>
        <v>0</v>
      </c>
      <c r="Z31" s="163">
        <f t="shared" si="3"/>
        <v>0</v>
      </c>
      <c r="AA31" s="163">
        <f t="shared" si="9"/>
        <v>0</v>
      </c>
      <c r="AB31" s="163">
        <f t="shared" si="9"/>
        <v>0</v>
      </c>
      <c r="AC31" s="163">
        <f t="shared" si="9"/>
        <v>0</v>
      </c>
      <c r="AE31" s="51" t="s">
        <v>140</v>
      </c>
      <c r="AF31" s="55">
        <v>0.22</v>
      </c>
      <c r="AG31" s="33">
        <v>2.5</v>
      </c>
      <c r="AH31" s="33">
        <v>0.4</v>
      </c>
      <c r="AI31" s="33">
        <v>3.5</v>
      </c>
      <c r="AJ31" s="191" t="s">
        <v>133</v>
      </c>
      <c r="AK31" s="56">
        <v>0.15</v>
      </c>
      <c r="AL31" s="53">
        <v>3</v>
      </c>
      <c r="AM31" s="53">
        <v>0.4</v>
      </c>
      <c r="AN31" s="53">
        <v>4</v>
      </c>
      <c r="AP31" s="54"/>
      <c r="AQ31" s="54"/>
      <c r="AS31" s="39" t="b">
        <f t="shared" si="4"/>
        <v>0</v>
      </c>
    </row>
    <row r="32" spans="2:45" s="5" customFormat="1" ht="14.25" customHeight="1" x14ac:dyDescent="0.25">
      <c r="B32" s="158" t="s">
        <v>437</v>
      </c>
      <c r="C32" s="34"/>
      <c r="D32" s="10"/>
      <c r="E32" s="10"/>
      <c r="F32" s="45">
        <f t="shared" si="0"/>
        <v>0</v>
      </c>
      <c r="G32" s="27"/>
      <c r="H32" s="9"/>
      <c r="I32" s="46">
        <f t="shared" si="10"/>
        <v>0</v>
      </c>
      <c r="J32" s="47" t="s">
        <v>169</v>
      </c>
      <c r="K32" s="48">
        <v>2.2000000000000002</v>
      </c>
      <c r="L32" s="9"/>
      <c r="M32" s="47" t="s">
        <v>272</v>
      </c>
      <c r="N32" s="48" t="str">
        <f t="shared" si="13"/>
        <v/>
      </c>
      <c r="O32" s="49">
        <f t="shared" si="11"/>
        <v>0</v>
      </c>
      <c r="P32" s="50" t="str">
        <f t="shared" si="12"/>
        <v/>
      </c>
      <c r="Q32" s="165">
        <f t="shared" si="8"/>
        <v>0</v>
      </c>
      <c r="R32" s="165">
        <f t="shared" si="8"/>
        <v>0</v>
      </c>
      <c r="S32" s="165">
        <f t="shared" si="8"/>
        <v>0</v>
      </c>
      <c r="U32" s="163">
        <f t="shared" si="2"/>
        <v>0</v>
      </c>
      <c r="V32" s="163">
        <f t="shared" si="2"/>
        <v>0</v>
      </c>
      <c r="W32" s="163">
        <f t="shared" si="2"/>
        <v>0</v>
      </c>
      <c r="X32" s="163">
        <f t="shared" si="3"/>
        <v>0</v>
      </c>
      <c r="Y32" s="163">
        <f t="shared" si="3"/>
        <v>0</v>
      </c>
      <c r="Z32" s="163">
        <f t="shared" si="3"/>
        <v>0</v>
      </c>
      <c r="AA32" s="163">
        <f t="shared" si="9"/>
        <v>0</v>
      </c>
      <c r="AB32" s="163">
        <f t="shared" si="9"/>
        <v>0</v>
      </c>
      <c r="AC32" s="163">
        <f t="shared" si="9"/>
        <v>0</v>
      </c>
      <c r="AE32" s="51" t="s">
        <v>141</v>
      </c>
      <c r="AF32" s="55">
        <v>0.92</v>
      </c>
      <c r="AG32" s="33">
        <v>34.200000000000003</v>
      </c>
      <c r="AH32" s="33">
        <v>7.2</v>
      </c>
      <c r="AI32" s="33">
        <v>7.9</v>
      </c>
      <c r="AJ32" s="191" t="s">
        <v>131</v>
      </c>
      <c r="AK32" s="56">
        <v>0.86</v>
      </c>
      <c r="AL32" s="53">
        <v>6.9</v>
      </c>
      <c r="AM32" s="53">
        <v>1.3</v>
      </c>
      <c r="AN32" s="53">
        <v>11.6</v>
      </c>
      <c r="AP32" s="54"/>
      <c r="AQ32" s="54"/>
      <c r="AS32" s="39" t="b">
        <f t="shared" si="4"/>
        <v>0</v>
      </c>
    </row>
    <row r="33" spans="2:45" s="5" customFormat="1" ht="14.25" customHeight="1" x14ac:dyDescent="0.25">
      <c r="B33" s="158" t="s">
        <v>89</v>
      </c>
      <c r="C33" s="34"/>
      <c r="D33" s="10"/>
      <c r="E33" s="10"/>
      <c r="F33" s="45">
        <f t="shared" si="0"/>
        <v>0</v>
      </c>
      <c r="G33" s="27"/>
      <c r="H33" s="9"/>
      <c r="I33" s="46">
        <f t="shared" si="10"/>
        <v>0</v>
      </c>
      <c r="J33" s="47" t="s">
        <v>169</v>
      </c>
      <c r="K33" s="48">
        <v>1.8</v>
      </c>
      <c r="L33" s="9"/>
      <c r="M33" s="47" t="s">
        <v>272</v>
      </c>
      <c r="N33" s="48" t="str">
        <f t="shared" si="13"/>
        <v/>
      </c>
      <c r="O33" s="49">
        <f t="shared" si="11"/>
        <v>0</v>
      </c>
      <c r="P33" s="50" t="str">
        <f t="shared" si="12"/>
        <v/>
      </c>
      <c r="Q33" s="165">
        <f t="shared" si="8"/>
        <v>0</v>
      </c>
      <c r="R33" s="165">
        <f t="shared" si="8"/>
        <v>0</v>
      </c>
      <c r="S33" s="165">
        <f t="shared" si="8"/>
        <v>0</v>
      </c>
      <c r="U33" s="163">
        <f t="shared" si="2"/>
        <v>0</v>
      </c>
      <c r="V33" s="163">
        <f t="shared" si="2"/>
        <v>0</v>
      </c>
      <c r="W33" s="163">
        <f t="shared" si="2"/>
        <v>0</v>
      </c>
      <c r="X33" s="163">
        <f t="shared" si="3"/>
        <v>0</v>
      </c>
      <c r="Y33" s="163">
        <f t="shared" si="3"/>
        <v>0</v>
      </c>
      <c r="Z33" s="163">
        <f t="shared" si="3"/>
        <v>0</v>
      </c>
      <c r="AA33" s="163">
        <f t="shared" si="9"/>
        <v>0</v>
      </c>
      <c r="AB33" s="163">
        <f t="shared" si="9"/>
        <v>0</v>
      </c>
      <c r="AC33" s="163">
        <f t="shared" si="9"/>
        <v>0</v>
      </c>
      <c r="AE33" s="51" t="s">
        <v>141</v>
      </c>
      <c r="AF33" s="55">
        <v>0.92</v>
      </c>
      <c r="AG33" s="33">
        <v>28</v>
      </c>
      <c r="AH33" s="33">
        <v>7</v>
      </c>
      <c r="AI33" s="33">
        <v>19.899999999999999</v>
      </c>
      <c r="AJ33" s="191" t="s">
        <v>131</v>
      </c>
      <c r="AK33" s="56">
        <v>0.86</v>
      </c>
      <c r="AL33" s="53">
        <v>9.5</v>
      </c>
      <c r="AM33" s="53">
        <v>2.1</v>
      </c>
      <c r="AN33" s="53">
        <v>39.6</v>
      </c>
      <c r="AP33" s="54"/>
      <c r="AQ33" s="54"/>
      <c r="AS33" s="39" t="b">
        <f t="shared" si="4"/>
        <v>0</v>
      </c>
    </row>
    <row r="34" spans="2:45" s="5" customFormat="1" ht="14.25" customHeight="1" x14ac:dyDescent="0.25">
      <c r="B34" s="158" t="s">
        <v>84</v>
      </c>
      <c r="C34" s="34"/>
      <c r="D34" s="10"/>
      <c r="E34" s="10"/>
      <c r="F34" s="45">
        <f t="shared" si="0"/>
        <v>0</v>
      </c>
      <c r="G34" s="27"/>
      <c r="H34" s="9"/>
      <c r="I34" s="46">
        <f t="shared" si="10"/>
        <v>0</v>
      </c>
      <c r="J34" s="47" t="s">
        <v>169</v>
      </c>
      <c r="K34" s="48">
        <v>1</v>
      </c>
      <c r="L34" s="9"/>
      <c r="M34" s="47" t="s">
        <v>272</v>
      </c>
      <c r="N34" s="48" t="str">
        <f t="shared" si="13"/>
        <v/>
      </c>
      <c r="O34" s="49">
        <f t="shared" si="11"/>
        <v>0</v>
      </c>
      <c r="P34" s="50" t="str">
        <f t="shared" si="12"/>
        <v/>
      </c>
      <c r="Q34" s="165">
        <f t="shared" si="8"/>
        <v>0</v>
      </c>
      <c r="R34" s="165">
        <f t="shared" si="8"/>
        <v>0</v>
      </c>
      <c r="S34" s="165">
        <f t="shared" si="8"/>
        <v>0</v>
      </c>
      <c r="U34" s="163">
        <f t="shared" si="2"/>
        <v>0</v>
      </c>
      <c r="V34" s="163">
        <f t="shared" si="2"/>
        <v>0</v>
      </c>
      <c r="W34" s="163">
        <f t="shared" si="2"/>
        <v>0</v>
      </c>
      <c r="X34" s="163">
        <f t="shared" si="3"/>
        <v>0</v>
      </c>
      <c r="Y34" s="163">
        <f t="shared" si="3"/>
        <v>0</v>
      </c>
      <c r="Z34" s="163">
        <f t="shared" si="3"/>
        <v>0</v>
      </c>
      <c r="AA34" s="163">
        <f t="shared" si="9"/>
        <v>0</v>
      </c>
      <c r="AB34" s="163">
        <f t="shared" si="9"/>
        <v>0</v>
      </c>
      <c r="AC34" s="163">
        <f t="shared" si="9"/>
        <v>0</v>
      </c>
      <c r="AE34" s="51" t="s">
        <v>141</v>
      </c>
      <c r="AF34" s="55">
        <v>0.86</v>
      </c>
      <c r="AG34" s="33">
        <v>54.6</v>
      </c>
      <c r="AH34" s="33">
        <v>7.3</v>
      </c>
      <c r="AI34" s="33">
        <v>18.899999999999999</v>
      </c>
      <c r="AJ34" s="191" t="s">
        <v>131</v>
      </c>
      <c r="AK34" s="56">
        <v>0.86</v>
      </c>
      <c r="AL34" s="53">
        <v>10.1</v>
      </c>
      <c r="AM34" s="53">
        <v>1.3</v>
      </c>
      <c r="AN34" s="53">
        <v>9.6</v>
      </c>
      <c r="AP34" s="127">
        <v>120</v>
      </c>
      <c r="AQ34" s="57">
        <f>D34*AP34</f>
        <v>0</v>
      </c>
      <c r="AS34" s="39" t="b">
        <f t="shared" si="4"/>
        <v>0</v>
      </c>
    </row>
    <row r="35" spans="2:45" s="5" customFormat="1" ht="14.25" customHeight="1" x14ac:dyDescent="0.25">
      <c r="B35" s="158" t="s">
        <v>85</v>
      </c>
      <c r="C35" s="34"/>
      <c r="D35" s="10"/>
      <c r="E35" s="10"/>
      <c r="F35" s="45">
        <f t="shared" si="0"/>
        <v>0</v>
      </c>
      <c r="G35" s="27"/>
      <c r="H35" s="9"/>
      <c r="I35" s="46">
        <f t="shared" si="10"/>
        <v>0</v>
      </c>
      <c r="J35" s="47" t="s">
        <v>169</v>
      </c>
      <c r="K35" s="48">
        <v>2.8</v>
      </c>
      <c r="L35" s="9"/>
      <c r="M35" s="47" t="s">
        <v>272</v>
      </c>
      <c r="N35" s="48" t="str">
        <f t="shared" si="13"/>
        <v/>
      </c>
      <c r="O35" s="49">
        <f t="shared" si="11"/>
        <v>0</v>
      </c>
      <c r="P35" s="50" t="str">
        <f t="shared" si="12"/>
        <v/>
      </c>
      <c r="Q35" s="165">
        <f t="shared" si="8"/>
        <v>0</v>
      </c>
      <c r="R35" s="165">
        <f t="shared" si="8"/>
        <v>0</v>
      </c>
      <c r="S35" s="165">
        <f t="shared" si="8"/>
        <v>0</v>
      </c>
      <c r="U35" s="163">
        <f t="shared" si="2"/>
        <v>0</v>
      </c>
      <c r="V35" s="163">
        <f t="shared" si="2"/>
        <v>0</v>
      </c>
      <c r="W35" s="163">
        <f t="shared" si="2"/>
        <v>0</v>
      </c>
      <c r="X35" s="163">
        <f t="shared" si="3"/>
        <v>0</v>
      </c>
      <c r="Y35" s="163">
        <f t="shared" si="3"/>
        <v>0</v>
      </c>
      <c r="Z35" s="163">
        <f t="shared" si="3"/>
        <v>0</v>
      </c>
      <c r="AA35" s="163">
        <f t="shared" si="9"/>
        <v>0</v>
      </c>
      <c r="AB35" s="163">
        <f t="shared" si="9"/>
        <v>0</v>
      </c>
      <c r="AC35" s="163">
        <f t="shared" si="9"/>
        <v>0</v>
      </c>
      <c r="AE35" s="51" t="s">
        <v>141</v>
      </c>
      <c r="AF35" s="55">
        <v>0.92</v>
      </c>
      <c r="AG35" s="33">
        <v>33.200000000000003</v>
      </c>
      <c r="AH35" s="33">
        <v>7.6</v>
      </c>
      <c r="AI35" s="33">
        <v>8.1999999999999993</v>
      </c>
      <c r="AJ35" s="191" t="s">
        <v>131</v>
      </c>
      <c r="AK35" s="56">
        <v>0.86</v>
      </c>
      <c r="AL35" s="53">
        <v>8.6</v>
      </c>
      <c r="AM35" s="53">
        <v>0.9</v>
      </c>
      <c r="AN35" s="53">
        <v>19.100000000000001</v>
      </c>
      <c r="AP35" s="54"/>
      <c r="AQ35" s="54"/>
      <c r="AS35" s="39" t="b">
        <f t="shared" si="4"/>
        <v>0</v>
      </c>
    </row>
    <row r="36" spans="2:45" s="5" customFormat="1" ht="14.25" customHeight="1" x14ac:dyDescent="0.25">
      <c r="B36" s="158" t="s">
        <v>90</v>
      </c>
      <c r="C36" s="34"/>
      <c r="D36" s="10"/>
      <c r="E36" s="10"/>
      <c r="F36" s="45">
        <f t="shared" si="0"/>
        <v>0</v>
      </c>
      <c r="G36" s="27"/>
      <c r="H36" s="9"/>
      <c r="I36" s="46">
        <f t="shared" si="10"/>
        <v>0</v>
      </c>
      <c r="J36" s="47" t="s">
        <v>169</v>
      </c>
      <c r="K36" s="48">
        <v>1.5</v>
      </c>
      <c r="L36" s="9"/>
      <c r="M36" s="47" t="s">
        <v>272</v>
      </c>
      <c r="N36" s="48" t="str">
        <f t="shared" si="13"/>
        <v/>
      </c>
      <c r="O36" s="49">
        <f t="shared" si="11"/>
        <v>0</v>
      </c>
      <c r="P36" s="50" t="str">
        <f t="shared" si="12"/>
        <v/>
      </c>
      <c r="Q36" s="165">
        <f t="shared" si="8"/>
        <v>0</v>
      </c>
      <c r="R36" s="165">
        <f t="shared" si="8"/>
        <v>0</v>
      </c>
      <c r="S36" s="165">
        <f t="shared" si="8"/>
        <v>0</v>
      </c>
      <c r="U36" s="163">
        <f t="shared" si="2"/>
        <v>0</v>
      </c>
      <c r="V36" s="163">
        <f t="shared" si="2"/>
        <v>0</v>
      </c>
      <c r="W36" s="163">
        <f t="shared" si="2"/>
        <v>0</v>
      </c>
      <c r="X36" s="163">
        <f t="shared" si="3"/>
        <v>0</v>
      </c>
      <c r="Y36" s="163">
        <f t="shared" si="3"/>
        <v>0</v>
      </c>
      <c r="Z36" s="163">
        <f t="shared" si="3"/>
        <v>0</v>
      </c>
      <c r="AA36" s="163">
        <f t="shared" si="9"/>
        <v>0</v>
      </c>
      <c r="AB36" s="163">
        <f t="shared" si="9"/>
        <v>0</v>
      </c>
      <c r="AC36" s="163">
        <f t="shared" si="9"/>
        <v>0</v>
      </c>
      <c r="AE36" s="51" t="s">
        <v>141</v>
      </c>
      <c r="AF36" s="55">
        <v>0.92</v>
      </c>
      <c r="AG36" s="33">
        <v>50</v>
      </c>
      <c r="AH36" s="33">
        <v>7.7</v>
      </c>
      <c r="AI36" s="33">
        <v>7.7</v>
      </c>
      <c r="AJ36" s="191" t="s">
        <v>131</v>
      </c>
      <c r="AK36" s="56">
        <v>0.86</v>
      </c>
      <c r="AL36" s="53">
        <v>7.1</v>
      </c>
      <c r="AM36" s="53">
        <v>1.7</v>
      </c>
      <c r="AN36" s="53">
        <v>21.1</v>
      </c>
      <c r="AP36" s="54"/>
      <c r="AQ36" s="54"/>
      <c r="AS36" s="39" t="b">
        <f t="shared" si="4"/>
        <v>0</v>
      </c>
    </row>
    <row r="37" spans="2:45" s="5" customFormat="1" ht="14.25" customHeight="1" x14ac:dyDescent="0.25">
      <c r="B37" s="158" t="s">
        <v>91</v>
      </c>
      <c r="C37" s="34"/>
      <c r="D37" s="10"/>
      <c r="E37" s="10"/>
      <c r="F37" s="45">
        <f t="shared" si="0"/>
        <v>0</v>
      </c>
      <c r="G37" s="27"/>
      <c r="H37" s="9"/>
      <c r="I37" s="46">
        <f t="shared" si="10"/>
        <v>0</v>
      </c>
      <c r="J37" s="47" t="s">
        <v>169</v>
      </c>
      <c r="K37" s="48">
        <v>1.5</v>
      </c>
      <c r="L37" s="9"/>
      <c r="M37" s="47" t="s">
        <v>272</v>
      </c>
      <c r="N37" s="48" t="str">
        <f t="shared" si="13"/>
        <v/>
      </c>
      <c r="O37" s="49">
        <f t="shared" si="11"/>
        <v>0</v>
      </c>
      <c r="P37" s="50" t="str">
        <f t="shared" si="12"/>
        <v/>
      </c>
      <c r="Q37" s="165">
        <f t="shared" si="8"/>
        <v>0</v>
      </c>
      <c r="R37" s="165">
        <f t="shared" si="8"/>
        <v>0</v>
      </c>
      <c r="S37" s="165">
        <f t="shared" si="8"/>
        <v>0</v>
      </c>
      <c r="U37" s="163">
        <f t="shared" si="2"/>
        <v>0</v>
      </c>
      <c r="V37" s="163">
        <f t="shared" si="2"/>
        <v>0</v>
      </c>
      <c r="W37" s="163">
        <f t="shared" si="2"/>
        <v>0</v>
      </c>
      <c r="X37" s="163">
        <f t="shared" si="3"/>
        <v>0</v>
      </c>
      <c r="Y37" s="163">
        <f t="shared" si="3"/>
        <v>0</v>
      </c>
      <c r="Z37" s="163">
        <f t="shared" si="3"/>
        <v>0</v>
      </c>
      <c r="AA37" s="163">
        <f t="shared" si="9"/>
        <v>0</v>
      </c>
      <c r="AB37" s="163">
        <f t="shared" si="9"/>
        <v>0</v>
      </c>
      <c r="AC37" s="163">
        <f t="shared" si="9"/>
        <v>0</v>
      </c>
      <c r="AE37" s="51" t="s">
        <v>141</v>
      </c>
      <c r="AF37" s="55">
        <v>0.92</v>
      </c>
      <c r="AG37" s="33">
        <v>33.6</v>
      </c>
      <c r="AH37" s="33">
        <v>6.6</v>
      </c>
      <c r="AI37" s="33">
        <v>8.3000000000000007</v>
      </c>
      <c r="AJ37" s="191" t="s">
        <v>134</v>
      </c>
      <c r="AK37" s="56">
        <v>0.86</v>
      </c>
      <c r="AL37" s="53">
        <v>5.3</v>
      </c>
      <c r="AM37" s="53">
        <v>1.4</v>
      </c>
      <c r="AN37" s="53">
        <v>12.1</v>
      </c>
      <c r="AP37" s="54"/>
      <c r="AQ37" s="54"/>
      <c r="AS37" s="39" t="b">
        <f t="shared" si="4"/>
        <v>0</v>
      </c>
    </row>
    <row r="38" spans="2:45" s="5" customFormat="1" ht="14.25" customHeight="1" x14ac:dyDescent="0.25">
      <c r="B38" s="158" t="s">
        <v>86</v>
      </c>
      <c r="C38" s="34"/>
      <c r="D38" s="10"/>
      <c r="E38" s="10"/>
      <c r="F38" s="45">
        <f t="shared" si="0"/>
        <v>0</v>
      </c>
      <c r="G38" s="27"/>
      <c r="H38" s="9"/>
      <c r="I38" s="46">
        <f t="shared" si="10"/>
        <v>0</v>
      </c>
      <c r="J38" s="47" t="s">
        <v>169</v>
      </c>
      <c r="K38" s="48">
        <v>1</v>
      </c>
      <c r="L38" s="9"/>
      <c r="M38" s="47" t="s">
        <v>272</v>
      </c>
      <c r="N38" s="48" t="str">
        <f t="shared" si="13"/>
        <v/>
      </c>
      <c r="O38" s="49">
        <f t="shared" si="11"/>
        <v>0</v>
      </c>
      <c r="P38" s="50" t="str">
        <f t="shared" si="12"/>
        <v/>
      </c>
      <c r="Q38" s="165">
        <f t="shared" si="8"/>
        <v>0</v>
      </c>
      <c r="R38" s="165">
        <f t="shared" si="8"/>
        <v>0</v>
      </c>
      <c r="S38" s="165">
        <f t="shared" si="8"/>
        <v>0</v>
      </c>
      <c r="U38" s="163">
        <f t="shared" si="2"/>
        <v>0</v>
      </c>
      <c r="V38" s="163">
        <f t="shared" si="2"/>
        <v>0</v>
      </c>
      <c r="W38" s="163">
        <f t="shared" si="2"/>
        <v>0</v>
      </c>
      <c r="X38" s="163">
        <f t="shared" si="3"/>
        <v>0</v>
      </c>
      <c r="Y38" s="163">
        <f t="shared" si="3"/>
        <v>0</v>
      </c>
      <c r="Z38" s="163">
        <f t="shared" si="3"/>
        <v>0</v>
      </c>
      <c r="AA38" s="163">
        <f t="shared" si="9"/>
        <v>0</v>
      </c>
      <c r="AB38" s="163">
        <f t="shared" si="9"/>
        <v>0</v>
      </c>
      <c r="AC38" s="163">
        <f t="shared" si="9"/>
        <v>0</v>
      </c>
      <c r="AE38" s="51" t="s">
        <v>141</v>
      </c>
      <c r="AF38" s="55">
        <v>0.92</v>
      </c>
      <c r="AG38" s="33">
        <v>24.9</v>
      </c>
      <c r="AH38" s="33">
        <v>4.5999999999999996</v>
      </c>
      <c r="AI38" s="33">
        <v>5.8</v>
      </c>
      <c r="AJ38" s="191" t="s">
        <v>131</v>
      </c>
      <c r="AK38" s="56">
        <v>0.86</v>
      </c>
      <c r="AL38" s="53">
        <v>9.5</v>
      </c>
      <c r="AM38" s="53">
        <v>1.7</v>
      </c>
      <c r="AN38" s="53">
        <v>14.1</v>
      </c>
      <c r="AP38" s="54"/>
      <c r="AQ38" s="54"/>
      <c r="AS38" s="39" t="b">
        <f t="shared" si="4"/>
        <v>0</v>
      </c>
    </row>
    <row r="39" spans="2:45" s="5" customFormat="1" ht="14.25" customHeight="1" x14ac:dyDescent="0.25">
      <c r="B39" s="158" t="s">
        <v>438</v>
      </c>
      <c r="C39" s="34"/>
      <c r="D39" s="10"/>
      <c r="E39" s="10"/>
      <c r="F39" s="45">
        <f t="shared" si="0"/>
        <v>0</v>
      </c>
      <c r="G39" s="27"/>
      <c r="H39" s="9"/>
      <c r="I39" s="46">
        <f t="shared" si="10"/>
        <v>0</v>
      </c>
      <c r="J39" s="47" t="s">
        <v>169</v>
      </c>
      <c r="K39" s="48">
        <v>1.5</v>
      </c>
      <c r="L39" s="9"/>
      <c r="M39" s="47" t="s">
        <v>272</v>
      </c>
      <c r="N39" s="48" t="str">
        <f t="shared" si="13"/>
        <v/>
      </c>
      <c r="O39" s="49">
        <f t="shared" si="11"/>
        <v>0</v>
      </c>
      <c r="P39" s="50" t="str">
        <f t="shared" si="12"/>
        <v/>
      </c>
      <c r="Q39" s="165">
        <f t="shared" si="8"/>
        <v>0</v>
      </c>
      <c r="R39" s="165">
        <f t="shared" si="8"/>
        <v>0</v>
      </c>
      <c r="S39" s="165">
        <f t="shared" si="8"/>
        <v>0</v>
      </c>
      <c r="U39" s="163">
        <f t="shared" si="2"/>
        <v>0</v>
      </c>
      <c r="V39" s="163">
        <f t="shared" si="2"/>
        <v>0</v>
      </c>
      <c r="W39" s="163">
        <f t="shared" si="2"/>
        <v>0</v>
      </c>
      <c r="X39" s="163">
        <f t="shared" si="3"/>
        <v>0</v>
      </c>
      <c r="Y39" s="163">
        <f t="shared" si="3"/>
        <v>0</v>
      </c>
      <c r="Z39" s="163">
        <f t="shared" si="3"/>
        <v>0</v>
      </c>
      <c r="AA39" s="163">
        <f t="shared" si="9"/>
        <v>0</v>
      </c>
      <c r="AB39" s="163">
        <f t="shared" si="9"/>
        <v>0</v>
      </c>
      <c r="AC39" s="163">
        <f t="shared" si="9"/>
        <v>0</v>
      </c>
      <c r="AE39" s="51" t="s">
        <v>141</v>
      </c>
      <c r="AF39" s="55">
        <v>0.92</v>
      </c>
      <c r="AG39" s="33">
        <v>33</v>
      </c>
      <c r="AH39" s="33">
        <v>7</v>
      </c>
      <c r="AI39" s="33">
        <v>8</v>
      </c>
      <c r="AJ39" s="191" t="s">
        <v>131</v>
      </c>
      <c r="AK39" s="56">
        <v>0.86</v>
      </c>
      <c r="AL39" s="53">
        <v>6</v>
      </c>
      <c r="AM39" s="53">
        <v>1.5</v>
      </c>
      <c r="AN39" s="53">
        <v>17</v>
      </c>
      <c r="AP39" s="54"/>
      <c r="AQ39" s="54"/>
      <c r="AS39" s="39" t="b">
        <f t="shared" si="4"/>
        <v>0</v>
      </c>
    </row>
    <row r="40" spans="2:45" s="5" customFormat="1" ht="14.25" customHeight="1" x14ac:dyDescent="0.25">
      <c r="B40" s="158" t="s">
        <v>142</v>
      </c>
      <c r="C40" s="34"/>
      <c r="D40" s="10"/>
      <c r="E40" s="10"/>
      <c r="F40" s="45">
        <f t="shared" si="0"/>
        <v>0</v>
      </c>
      <c r="G40" s="27"/>
      <c r="H40" s="9"/>
      <c r="I40" s="46">
        <f t="shared" si="10"/>
        <v>0</v>
      </c>
      <c r="J40" s="47" t="s">
        <v>169</v>
      </c>
      <c r="K40" s="48">
        <v>1.5</v>
      </c>
      <c r="L40" s="9"/>
      <c r="M40" s="47" t="s">
        <v>272</v>
      </c>
      <c r="N40" s="48" t="str">
        <f t="shared" si="13"/>
        <v/>
      </c>
      <c r="O40" s="49">
        <f t="shared" si="11"/>
        <v>0</v>
      </c>
      <c r="P40" s="50" t="str">
        <f t="shared" si="12"/>
        <v/>
      </c>
      <c r="Q40" s="165">
        <f t="shared" si="8"/>
        <v>0</v>
      </c>
      <c r="R40" s="165">
        <f t="shared" si="8"/>
        <v>0</v>
      </c>
      <c r="S40" s="165">
        <f t="shared" si="8"/>
        <v>0</v>
      </c>
      <c r="U40" s="163">
        <f t="shared" si="2"/>
        <v>0</v>
      </c>
      <c r="V40" s="163">
        <f t="shared" si="2"/>
        <v>0</v>
      </c>
      <c r="W40" s="163">
        <f t="shared" si="2"/>
        <v>0</v>
      </c>
      <c r="X40" s="163">
        <f t="shared" si="3"/>
        <v>0</v>
      </c>
      <c r="Y40" s="163">
        <f t="shared" si="3"/>
        <v>0</v>
      </c>
      <c r="Z40" s="163">
        <f t="shared" si="3"/>
        <v>0</v>
      </c>
      <c r="AA40" s="163">
        <f t="shared" si="9"/>
        <v>0</v>
      </c>
      <c r="AB40" s="163">
        <f t="shared" si="9"/>
        <v>0</v>
      </c>
      <c r="AC40" s="163">
        <f t="shared" si="9"/>
        <v>0</v>
      </c>
      <c r="AE40" s="51" t="s">
        <v>141</v>
      </c>
      <c r="AF40" s="55">
        <v>0.92</v>
      </c>
      <c r="AG40" s="33">
        <v>33</v>
      </c>
      <c r="AH40" s="33">
        <v>7</v>
      </c>
      <c r="AI40" s="33">
        <v>8</v>
      </c>
      <c r="AJ40" s="191" t="s">
        <v>131</v>
      </c>
      <c r="AK40" s="56">
        <v>0.86</v>
      </c>
      <c r="AL40" s="53">
        <v>6</v>
      </c>
      <c r="AM40" s="53">
        <v>1.5</v>
      </c>
      <c r="AN40" s="53">
        <v>17</v>
      </c>
      <c r="AP40" s="54"/>
      <c r="AQ40" s="54"/>
      <c r="AS40" s="39" t="b">
        <f t="shared" si="4"/>
        <v>0</v>
      </c>
    </row>
    <row r="41" spans="2:45" s="5" customFormat="1" ht="14.25" customHeight="1" x14ac:dyDescent="0.25">
      <c r="B41" s="158" t="s">
        <v>185</v>
      </c>
      <c r="C41" s="35" t="s">
        <v>177</v>
      </c>
      <c r="D41" s="10"/>
      <c r="E41" s="10"/>
      <c r="F41" s="45">
        <f t="shared" si="0"/>
        <v>0</v>
      </c>
      <c r="G41" s="27"/>
      <c r="H41" s="58"/>
      <c r="I41" s="58"/>
      <c r="J41" s="64"/>
      <c r="K41" s="65"/>
      <c r="L41" s="58"/>
      <c r="M41" s="60"/>
      <c r="N41" s="61"/>
      <c r="O41" s="62"/>
      <c r="P41" s="63"/>
      <c r="Q41" s="165">
        <f t="shared" si="8"/>
        <v>0</v>
      </c>
      <c r="R41" s="165">
        <f t="shared" si="8"/>
        <v>0</v>
      </c>
      <c r="S41" s="165">
        <f t="shared" si="8"/>
        <v>0</v>
      </c>
      <c r="U41" s="163">
        <f t="shared" ref="U41:W71" si="14">IF($G41=0,$F41*$D41*AG41,$G41*$D41*AG41)</f>
        <v>0</v>
      </c>
      <c r="V41" s="163">
        <f t="shared" si="14"/>
        <v>0</v>
      </c>
      <c r="W41" s="163">
        <f t="shared" si="14"/>
        <v>0</v>
      </c>
      <c r="X41" s="163">
        <f t="shared" ref="X41:Z71" si="15">IF($L41=0,$I41*AL41,$L41*AL41)</f>
        <v>0</v>
      </c>
      <c r="Y41" s="163">
        <f t="shared" si="15"/>
        <v>0</v>
      </c>
      <c r="Z41" s="163">
        <f t="shared" si="15"/>
        <v>0</v>
      </c>
      <c r="AA41" s="163">
        <f t="shared" si="9"/>
        <v>0</v>
      </c>
      <c r="AB41" s="163">
        <f t="shared" si="9"/>
        <v>0</v>
      </c>
      <c r="AC41" s="163">
        <f t="shared" si="9"/>
        <v>0</v>
      </c>
      <c r="AE41" s="51" t="s">
        <v>135</v>
      </c>
      <c r="AF41" s="55">
        <v>0.35</v>
      </c>
      <c r="AG41" s="33">
        <v>4.7</v>
      </c>
      <c r="AH41" s="33">
        <v>0.7</v>
      </c>
      <c r="AI41" s="33">
        <v>4.4000000000000004</v>
      </c>
      <c r="AJ41" s="192"/>
      <c r="AK41" s="66"/>
      <c r="AL41" s="54"/>
      <c r="AM41" s="54"/>
      <c r="AN41" s="54"/>
      <c r="AP41" s="54"/>
      <c r="AQ41" s="54"/>
      <c r="AS41" s="39" t="b">
        <f t="shared" si="4"/>
        <v>0</v>
      </c>
    </row>
    <row r="42" spans="2:45" s="5" customFormat="1" ht="14.25" customHeight="1" x14ac:dyDescent="0.25">
      <c r="B42" s="158" t="s">
        <v>443</v>
      </c>
      <c r="C42" s="35" t="s">
        <v>177</v>
      </c>
      <c r="D42" s="10"/>
      <c r="E42" s="10"/>
      <c r="F42" s="45">
        <f t="shared" si="0"/>
        <v>0</v>
      </c>
      <c r="G42" s="27"/>
      <c r="H42" s="58"/>
      <c r="I42" s="58"/>
      <c r="J42" s="64"/>
      <c r="K42" s="65"/>
      <c r="L42" s="58"/>
      <c r="M42" s="60"/>
      <c r="N42" s="61"/>
      <c r="O42" s="62"/>
      <c r="P42" s="63"/>
      <c r="Q42" s="165">
        <f t="shared" si="8"/>
        <v>0</v>
      </c>
      <c r="R42" s="165">
        <f t="shared" si="8"/>
        <v>0</v>
      </c>
      <c r="S42" s="165">
        <f t="shared" si="8"/>
        <v>0</v>
      </c>
      <c r="U42" s="163">
        <f t="shared" si="14"/>
        <v>0</v>
      </c>
      <c r="V42" s="163">
        <f t="shared" si="14"/>
        <v>0</v>
      </c>
      <c r="W42" s="163">
        <f t="shared" si="14"/>
        <v>0</v>
      </c>
      <c r="X42" s="163">
        <f t="shared" si="15"/>
        <v>0</v>
      </c>
      <c r="Y42" s="163">
        <f t="shared" si="15"/>
        <v>0</v>
      </c>
      <c r="Z42" s="163">
        <f t="shared" si="15"/>
        <v>0</v>
      </c>
      <c r="AA42" s="163">
        <f t="shared" si="9"/>
        <v>0</v>
      </c>
      <c r="AB42" s="163">
        <f t="shared" si="9"/>
        <v>0</v>
      </c>
      <c r="AC42" s="163">
        <f t="shared" si="9"/>
        <v>0</v>
      </c>
      <c r="AE42" s="51" t="s">
        <v>135</v>
      </c>
      <c r="AF42" s="55">
        <v>0.35</v>
      </c>
      <c r="AG42" s="33">
        <v>4.7</v>
      </c>
      <c r="AH42" s="33">
        <v>0.7</v>
      </c>
      <c r="AI42" s="33">
        <v>4.4000000000000004</v>
      </c>
      <c r="AJ42" s="192"/>
      <c r="AK42" s="66"/>
      <c r="AL42" s="54"/>
      <c r="AM42" s="54"/>
      <c r="AN42" s="54"/>
      <c r="AP42" s="54"/>
      <c r="AQ42" s="54"/>
      <c r="AS42" s="39" t="b">
        <f t="shared" si="4"/>
        <v>0</v>
      </c>
    </row>
    <row r="43" spans="2:45" s="5" customFormat="1" ht="14.25" customHeight="1" x14ac:dyDescent="0.25">
      <c r="B43" s="158" t="s">
        <v>154</v>
      </c>
      <c r="C43" s="35" t="s">
        <v>177</v>
      </c>
      <c r="D43" s="10"/>
      <c r="E43" s="10"/>
      <c r="F43" s="45">
        <f t="shared" si="0"/>
        <v>0</v>
      </c>
      <c r="G43" s="27"/>
      <c r="H43" s="58"/>
      <c r="I43" s="58"/>
      <c r="J43" s="64"/>
      <c r="K43" s="65"/>
      <c r="L43" s="58"/>
      <c r="M43" s="60"/>
      <c r="N43" s="61"/>
      <c r="O43" s="62"/>
      <c r="P43" s="63"/>
      <c r="Q43" s="165">
        <f t="shared" si="8"/>
        <v>0</v>
      </c>
      <c r="R43" s="165">
        <f t="shared" si="8"/>
        <v>0</v>
      </c>
      <c r="S43" s="165">
        <f t="shared" si="8"/>
        <v>0</v>
      </c>
      <c r="U43" s="163">
        <f t="shared" si="14"/>
        <v>0</v>
      </c>
      <c r="V43" s="163">
        <f t="shared" si="14"/>
        <v>0</v>
      </c>
      <c r="W43" s="163">
        <f t="shared" si="14"/>
        <v>0</v>
      </c>
      <c r="X43" s="163">
        <f t="shared" si="15"/>
        <v>0</v>
      </c>
      <c r="Y43" s="163">
        <f t="shared" si="15"/>
        <v>0</v>
      </c>
      <c r="Z43" s="163">
        <f t="shared" si="15"/>
        <v>0</v>
      </c>
      <c r="AA43" s="163">
        <f t="shared" si="9"/>
        <v>0</v>
      </c>
      <c r="AB43" s="163">
        <f t="shared" si="9"/>
        <v>0</v>
      </c>
      <c r="AC43" s="163">
        <f t="shared" si="9"/>
        <v>0</v>
      </c>
      <c r="AE43" s="51" t="s">
        <v>135</v>
      </c>
      <c r="AF43" s="55">
        <v>0.35</v>
      </c>
      <c r="AG43" s="33">
        <v>4.4000000000000004</v>
      </c>
      <c r="AH43" s="33">
        <v>0.7</v>
      </c>
      <c r="AI43" s="33">
        <v>4</v>
      </c>
      <c r="AJ43" s="192"/>
      <c r="AK43" s="66"/>
      <c r="AL43" s="54"/>
      <c r="AM43" s="54"/>
      <c r="AN43" s="54"/>
      <c r="AP43" s="54"/>
      <c r="AQ43" s="54"/>
      <c r="AS43" s="39" t="b">
        <f t="shared" si="4"/>
        <v>0</v>
      </c>
    </row>
    <row r="44" spans="2:45" s="5" customFormat="1" ht="14.25" customHeight="1" x14ac:dyDescent="0.25">
      <c r="B44" s="158" t="s">
        <v>442</v>
      </c>
      <c r="C44" s="35" t="s">
        <v>205</v>
      </c>
      <c r="D44" s="10"/>
      <c r="E44" s="10"/>
      <c r="F44" s="45">
        <f t="shared" si="0"/>
        <v>0</v>
      </c>
      <c r="G44" s="27"/>
      <c r="H44" s="58"/>
      <c r="I44" s="58"/>
      <c r="J44" s="64"/>
      <c r="K44" s="65"/>
      <c r="L44" s="58"/>
      <c r="M44" s="60"/>
      <c r="N44" s="61"/>
      <c r="O44" s="62"/>
      <c r="P44" s="63"/>
      <c r="Q44" s="165">
        <f t="shared" si="8"/>
        <v>0</v>
      </c>
      <c r="R44" s="165">
        <f t="shared" si="8"/>
        <v>0</v>
      </c>
      <c r="S44" s="165">
        <f t="shared" si="8"/>
        <v>0</v>
      </c>
      <c r="U44" s="163">
        <f t="shared" si="14"/>
        <v>0</v>
      </c>
      <c r="V44" s="163">
        <f t="shared" si="14"/>
        <v>0</v>
      </c>
      <c r="W44" s="163">
        <f t="shared" si="14"/>
        <v>0</v>
      </c>
      <c r="X44" s="163">
        <f t="shared" si="15"/>
        <v>0</v>
      </c>
      <c r="Y44" s="163">
        <f t="shared" si="15"/>
        <v>0</v>
      </c>
      <c r="Z44" s="163">
        <f t="shared" si="15"/>
        <v>0</v>
      </c>
      <c r="AA44" s="163">
        <f t="shared" si="9"/>
        <v>0</v>
      </c>
      <c r="AB44" s="163">
        <f t="shared" si="9"/>
        <v>0</v>
      </c>
      <c r="AC44" s="163">
        <f t="shared" si="9"/>
        <v>0</v>
      </c>
      <c r="AE44" s="51" t="s">
        <v>135</v>
      </c>
      <c r="AF44" s="55">
        <v>0.17</v>
      </c>
      <c r="AG44" s="33">
        <v>4.4000000000000004</v>
      </c>
      <c r="AH44" s="33">
        <v>0.6</v>
      </c>
      <c r="AI44" s="33">
        <v>4.7</v>
      </c>
      <c r="AJ44" s="192"/>
      <c r="AK44" s="66"/>
      <c r="AL44" s="54"/>
      <c r="AM44" s="54"/>
      <c r="AN44" s="54"/>
      <c r="AP44" s="54"/>
      <c r="AQ44" s="54"/>
      <c r="AS44" s="39" t="b">
        <f t="shared" si="4"/>
        <v>0</v>
      </c>
    </row>
    <row r="45" spans="2:45" s="5" customFormat="1" ht="14.25" customHeight="1" x14ac:dyDescent="0.25">
      <c r="B45" s="158" t="s">
        <v>155</v>
      </c>
      <c r="C45" s="35" t="s">
        <v>205</v>
      </c>
      <c r="D45" s="10"/>
      <c r="E45" s="10"/>
      <c r="F45" s="45">
        <f t="shared" si="0"/>
        <v>0</v>
      </c>
      <c r="G45" s="27"/>
      <c r="H45" s="58"/>
      <c r="I45" s="58"/>
      <c r="J45" s="64"/>
      <c r="K45" s="65"/>
      <c r="L45" s="58"/>
      <c r="M45" s="60"/>
      <c r="N45" s="61"/>
      <c r="O45" s="62"/>
      <c r="P45" s="63"/>
      <c r="Q45" s="165">
        <f t="shared" si="8"/>
        <v>0</v>
      </c>
      <c r="R45" s="165">
        <f t="shared" si="8"/>
        <v>0</v>
      </c>
      <c r="S45" s="165">
        <f t="shared" si="8"/>
        <v>0</v>
      </c>
      <c r="U45" s="163">
        <f t="shared" si="14"/>
        <v>0</v>
      </c>
      <c r="V45" s="163">
        <f t="shared" si="14"/>
        <v>0</v>
      </c>
      <c r="W45" s="163">
        <f t="shared" si="14"/>
        <v>0</v>
      </c>
      <c r="X45" s="163">
        <f t="shared" si="15"/>
        <v>0</v>
      </c>
      <c r="Y45" s="163">
        <f t="shared" si="15"/>
        <v>0</v>
      </c>
      <c r="Z45" s="163">
        <f t="shared" si="15"/>
        <v>0</v>
      </c>
      <c r="AA45" s="163">
        <f t="shared" si="9"/>
        <v>0</v>
      </c>
      <c r="AB45" s="163">
        <f t="shared" si="9"/>
        <v>0</v>
      </c>
      <c r="AC45" s="163">
        <f t="shared" si="9"/>
        <v>0</v>
      </c>
      <c r="AE45" s="51" t="s">
        <v>135</v>
      </c>
      <c r="AF45" s="55">
        <v>0.17</v>
      </c>
      <c r="AG45" s="33">
        <v>4.5999999999999996</v>
      </c>
      <c r="AH45" s="33">
        <v>0.6</v>
      </c>
      <c r="AI45" s="33">
        <v>3.7</v>
      </c>
      <c r="AJ45" s="192"/>
      <c r="AK45" s="67"/>
      <c r="AL45" s="54"/>
      <c r="AM45" s="54"/>
      <c r="AN45" s="54"/>
      <c r="AP45" s="127">
        <v>80</v>
      </c>
      <c r="AQ45" s="57">
        <f>D45*AP45</f>
        <v>0</v>
      </c>
      <c r="AS45" s="39" t="b">
        <f t="shared" si="4"/>
        <v>0</v>
      </c>
    </row>
    <row r="46" spans="2:45" s="5" customFormat="1" ht="14.25" customHeight="1" x14ac:dyDescent="0.25">
      <c r="B46" s="158" t="s">
        <v>156</v>
      </c>
      <c r="C46" s="35" t="s">
        <v>205</v>
      </c>
      <c r="D46" s="10"/>
      <c r="E46" s="10"/>
      <c r="F46" s="45">
        <f t="shared" si="0"/>
        <v>0</v>
      </c>
      <c r="G46" s="27"/>
      <c r="H46" s="58"/>
      <c r="I46" s="58"/>
      <c r="J46" s="64"/>
      <c r="K46" s="65"/>
      <c r="L46" s="58"/>
      <c r="M46" s="60"/>
      <c r="N46" s="61"/>
      <c r="O46" s="62"/>
      <c r="P46" s="63"/>
      <c r="Q46" s="165">
        <f t="shared" si="8"/>
        <v>0</v>
      </c>
      <c r="R46" s="165">
        <f t="shared" si="8"/>
        <v>0</v>
      </c>
      <c r="S46" s="165">
        <f t="shared" si="8"/>
        <v>0</v>
      </c>
      <c r="U46" s="163">
        <f t="shared" si="14"/>
        <v>0</v>
      </c>
      <c r="V46" s="163">
        <f t="shared" si="14"/>
        <v>0</v>
      </c>
      <c r="W46" s="163">
        <f t="shared" si="14"/>
        <v>0</v>
      </c>
      <c r="X46" s="163">
        <f t="shared" si="15"/>
        <v>0</v>
      </c>
      <c r="Y46" s="163">
        <f t="shared" si="15"/>
        <v>0</v>
      </c>
      <c r="Z46" s="163">
        <f t="shared" si="15"/>
        <v>0</v>
      </c>
      <c r="AA46" s="163">
        <f t="shared" si="9"/>
        <v>0</v>
      </c>
      <c r="AB46" s="163">
        <f t="shared" si="9"/>
        <v>0</v>
      </c>
      <c r="AC46" s="163">
        <f t="shared" si="9"/>
        <v>0</v>
      </c>
      <c r="AE46" s="51" t="s">
        <v>135</v>
      </c>
      <c r="AF46" s="55">
        <v>0.17</v>
      </c>
      <c r="AG46" s="33">
        <v>3.8</v>
      </c>
      <c r="AH46" s="33">
        <v>0.5</v>
      </c>
      <c r="AI46" s="33">
        <v>3.3</v>
      </c>
      <c r="AJ46" s="192"/>
      <c r="AK46" s="67"/>
      <c r="AL46" s="54"/>
      <c r="AM46" s="54"/>
      <c r="AN46" s="54"/>
      <c r="AP46" s="127">
        <v>80</v>
      </c>
      <c r="AQ46" s="57">
        <f>D46*AP46</f>
        <v>0</v>
      </c>
      <c r="AS46" s="39" t="b">
        <f t="shared" si="4"/>
        <v>0</v>
      </c>
    </row>
    <row r="47" spans="2:45" s="5" customFormat="1" ht="14.25" customHeight="1" x14ac:dyDescent="0.25">
      <c r="B47" s="158" t="s">
        <v>148</v>
      </c>
      <c r="C47" s="35" t="s">
        <v>205</v>
      </c>
      <c r="D47" s="10"/>
      <c r="E47" s="10"/>
      <c r="F47" s="45">
        <f t="shared" si="0"/>
        <v>0</v>
      </c>
      <c r="G47" s="27"/>
      <c r="H47" s="58"/>
      <c r="I47" s="58"/>
      <c r="J47" s="64"/>
      <c r="K47" s="65"/>
      <c r="L47" s="58"/>
      <c r="M47" s="60"/>
      <c r="N47" s="61"/>
      <c r="O47" s="62"/>
      <c r="P47" s="63"/>
      <c r="Q47" s="165">
        <f t="shared" si="8"/>
        <v>0</v>
      </c>
      <c r="R47" s="165">
        <f t="shared" si="8"/>
        <v>0</v>
      </c>
      <c r="S47" s="165">
        <f t="shared" si="8"/>
        <v>0</v>
      </c>
      <c r="U47" s="163">
        <f t="shared" si="14"/>
        <v>0</v>
      </c>
      <c r="V47" s="163">
        <f t="shared" si="14"/>
        <v>0</v>
      </c>
      <c r="W47" s="163">
        <f t="shared" si="14"/>
        <v>0</v>
      </c>
      <c r="X47" s="163">
        <f t="shared" si="15"/>
        <v>0</v>
      </c>
      <c r="Y47" s="163">
        <f t="shared" si="15"/>
        <v>0</v>
      </c>
      <c r="Z47" s="163">
        <f t="shared" si="15"/>
        <v>0</v>
      </c>
      <c r="AA47" s="163">
        <f t="shared" si="9"/>
        <v>0</v>
      </c>
      <c r="AB47" s="163">
        <f t="shared" si="9"/>
        <v>0</v>
      </c>
      <c r="AC47" s="163">
        <f t="shared" si="9"/>
        <v>0</v>
      </c>
      <c r="AE47" s="51" t="s">
        <v>135</v>
      </c>
      <c r="AF47" s="55">
        <v>0.17</v>
      </c>
      <c r="AG47" s="33">
        <v>4</v>
      </c>
      <c r="AH47" s="33">
        <v>0.6</v>
      </c>
      <c r="AI47" s="33">
        <v>4.5</v>
      </c>
      <c r="AJ47" s="192"/>
      <c r="AK47" s="67"/>
      <c r="AL47" s="54"/>
      <c r="AM47" s="54"/>
      <c r="AN47" s="54"/>
      <c r="AP47" s="127">
        <v>80</v>
      </c>
      <c r="AQ47" s="57">
        <f>D47*AP47</f>
        <v>0</v>
      </c>
      <c r="AS47" s="39" t="b">
        <f t="shared" si="4"/>
        <v>0</v>
      </c>
    </row>
    <row r="48" spans="2:45" s="5" customFormat="1" ht="14.25" customHeight="1" x14ac:dyDescent="0.25">
      <c r="B48" s="158" t="s">
        <v>157</v>
      </c>
      <c r="C48" s="35" t="s">
        <v>205</v>
      </c>
      <c r="D48" s="10"/>
      <c r="E48" s="10"/>
      <c r="F48" s="45">
        <f t="shared" si="0"/>
        <v>0</v>
      </c>
      <c r="G48" s="27"/>
      <c r="H48" s="58"/>
      <c r="I48" s="58"/>
      <c r="J48" s="64"/>
      <c r="K48" s="65"/>
      <c r="L48" s="58"/>
      <c r="M48" s="60"/>
      <c r="N48" s="61"/>
      <c r="O48" s="62"/>
      <c r="P48" s="63"/>
      <c r="Q48" s="165">
        <f t="shared" si="8"/>
        <v>0</v>
      </c>
      <c r="R48" s="165">
        <f t="shared" si="8"/>
        <v>0</v>
      </c>
      <c r="S48" s="165">
        <f t="shared" si="8"/>
        <v>0</v>
      </c>
      <c r="U48" s="163">
        <f t="shared" si="14"/>
        <v>0</v>
      </c>
      <c r="V48" s="163">
        <f t="shared" si="14"/>
        <v>0</v>
      </c>
      <c r="W48" s="163">
        <f t="shared" si="14"/>
        <v>0</v>
      </c>
      <c r="X48" s="163">
        <f t="shared" si="15"/>
        <v>0</v>
      </c>
      <c r="Y48" s="163">
        <f t="shared" si="15"/>
        <v>0</v>
      </c>
      <c r="Z48" s="163">
        <f t="shared" si="15"/>
        <v>0</v>
      </c>
      <c r="AA48" s="163">
        <f t="shared" si="9"/>
        <v>0</v>
      </c>
      <c r="AB48" s="163">
        <f t="shared" si="9"/>
        <v>0</v>
      </c>
      <c r="AC48" s="163">
        <f t="shared" si="9"/>
        <v>0</v>
      </c>
      <c r="AE48" s="51" t="s">
        <v>135</v>
      </c>
      <c r="AF48" s="55">
        <v>0.17</v>
      </c>
      <c r="AG48" s="33">
        <v>4.7</v>
      </c>
      <c r="AH48" s="33">
        <v>0.5</v>
      </c>
      <c r="AI48" s="33">
        <v>4.2</v>
      </c>
      <c r="AJ48" s="192"/>
      <c r="AK48" s="67"/>
      <c r="AL48" s="54"/>
      <c r="AM48" s="54"/>
      <c r="AN48" s="54"/>
      <c r="AP48" s="127">
        <v>80</v>
      </c>
      <c r="AQ48" s="57">
        <f>D48*AP48</f>
        <v>0</v>
      </c>
      <c r="AS48" s="39" t="b">
        <f t="shared" si="4"/>
        <v>0</v>
      </c>
    </row>
    <row r="49" spans="2:45" s="5" customFormat="1" ht="14.25" customHeight="1" x14ac:dyDescent="0.25">
      <c r="B49" s="158" t="s">
        <v>166</v>
      </c>
      <c r="C49" s="35" t="s">
        <v>205</v>
      </c>
      <c r="D49" s="10"/>
      <c r="E49" s="10"/>
      <c r="F49" s="45">
        <f t="shared" si="0"/>
        <v>0</v>
      </c>
      <c r="G49" s="27"/>
      <c r="H49" s="58"/>
      <c r="I49" s="58"/>
      <c r="J49" s="64"/>
      <c r="K49" s="65"/>
      <c r="L49" s="58"/>
      <c r="M49" s="60"/>
      <c r="N49" s="61"/>
      <c r="O49" s="62"/>
      <c r="P49" s="63"/>
      <c r="Q49" s="165">
        <f t="shared" si="8"/>
        <v>0</v>
      </c>
      <c r="R49" s="165">
        <f t="shared" si="8"/>
        <v>0</v>
      </c>
      <c r="S49" s="165">
        <f t="shared" si="8"/>
        <v>0</v>
      </c>
      <c r="U49" s="163">
        <f t="shared" si="14"/>
        <v>0</v>
      </c>
      <c r="V49" s="163">
        <f t="shared" si="14"/>
        <v>0</v>
      </c>
      <c r="W49" s="163">
        <f t="shared" si="14"/>
        <v>0</v>
      </c>
      <c r="X49" s="163">
        <f t="shared" si="15"/>
        <v>0</v>
      </c>
      <c r="Y49" s="163">
        <f t="shared" si="15"/>
        <v>0</v>
      </c>
      <c r="Z49" s="163">
        <f t="shared" si="15"/>
        <v>0</v>
      </c>
      <c r="AA49" s="163">
        <f t="shared" si="9"/>
        <v>0</v>
      </c>
      <c r="AB49" s="163">
        <f t="shared" si="9"/>
        <v>0</v>
      </c>
      <c r="AC49" s="163">
        <f t="shared" si="9"/>
        <v>0</v>
      </c>
      <c r="AE49" s="51" t="s">
        <v>135</v>
      </c>
      <c r="AF49" s="55">
        <v>0.17</v>
      </c>
      <c r="AG49" s="33">
        <v>4</v>
      </c>
      <c r="AH49" s="33">
        <v>0.7</v>
      </c>
      <c r="AI49" s="33">
        <v>4.0999999999999996</v>
      </c>
      <c r="AJ49" s="192"/>
      <c r="AK49" s="67"/>
      <c r="AL49" s="54"/>
      <c r="AM49" s="54"/>
      <c r="AN49" s="54"/>
      <c r="AP49" s="54"/>
      <c r="AQ49" s="54"/>
      <c r="AS49" s="39" t="b">
        <f t="shared" si="4"/>
        <v>0</v>
      </c>
    </row>
    <row r="50" spans="2:45" s="5" customFormat="1" ht="14.25" customHeight="1" x14ac:dyDescent="0.25">
      <c r="B50" s="158" t="s">
        <v>158</v>
      </c>
      <c r="C50" s="35" t="s">
        <v>205</v>
      </c>
      <c r="D50" s="10"/>
      <c r="E50" s="10"/>
      <c r="F50" s="45">
        <f t="shared" si="0"/>
        <v>0</v>
      </c>
      <c r="G50" s="27"/>
      <c r="H50" s="58"/>
      <c r="I50" s="58"/>
      <c r="J50" s="64"/>
      <c r="K50" s="65"/>
      <c r="L50" s="58"/>
      <c r="M50" s="60"/>
      <c r="N50" s="61"/>
      <c r="O50" s="62"/>
      <c r="P50" s="63"/>
      <c r="Q50" s="165">
        <f t="shared" si="8"/>
        <v>0</v>
      </c>
      <c r="R50" s="165">
        <f t="shared" si="8"/>
        <v>0</v>
      </c>
      <c r="S50" s="165">
        <f t="shared" si="8"/>
        <v>0</v>
      </c>
      <c r="U50" s="163">
        <f t="shared" si="14"/>
        <v>0</v>
      </c>
      <c r="V50" s="163">
        <f t="shared" si="14"/>
        <v>0</v>
      </c>
      <c r="W50" s="163">
        <f t="shared" si="14"/>
        <v>0</v>
      </c>
      <c r="X50" s="163">
        <f t="shared" si="15"/>
        <v>0</v>
      </c>
      <c r="Y50" s="163">
        <f t="shared" si="15"/>
        <v>0</v>
      </c>
      <c r="Z50" s="163">
        <f t="shared" si="15"/>
        <v>0</v>
      </c>
      <c r="AA50" s="163">
        <f t="shared" si="9"/>
        <v>0</v>
      </c>
      <c r="AB50" s="163">
        <f t="shared" si="9"/>
        <v>0</v>
      </c>
      <c r="AC50" s="163">
        <f t="shared" si="9"/>
        <v>0</v>
      </c>
      <c r="AE50" s="51" t="s">
        <v>135</v>
      </c>
      <c r="AF50" s="55">
        <v>0.17</v>
      </c>
      <c r="AG50" s="33">
        <v>4.8</v>
      </c>
      <c r="AH50" s="33">
        <v>0.6</v>
      </c>
      <c r="AI50" s="33">
        <v>5.7</v>
      </c>
      <c r="AJ50" s="192"/>
      <c r="AK50" s="67"/>
      <c r="AL50" s="54"/>
      <c r="AM50" s="54"/>
      <c r="AN50" s="54"/>
      <c r="AP50" s="54"/>
      <c r="AQ50" s="54"/>
      <c r="AS50" s="39" t="b">
        <f t="shared" si="4"/>
        <v>0</v>
      </c>
    </row>
    <row r="51" spans="2:45" s="5" customFormat="1" ht="14.25" customHeight="1" x14ac:dyDescent="0.25">
      <c r="B51" s="158" t="s">
        <v>159</v>
      </c>
      <c r="C51" s="35" t="s">
        <v>205</v>
      </c>
      <c r="D51" s="10"/>
      <c r="E51" s="10"/>
      <c r="F51" s="45">
        <f t="shared" si="0"/>
        <v>0</v>
      </c>
      <c r="G51" s="27"/>
      <c r="H51" s="58"/>
      <c r="I51" s="58"/>
      <c r="J51" s="64"/>
      <c r="K51" s="65"/>
      <c r="L51" s="58"/>
      <c r="M51" s="60"/>
      <c r="N51" s="61"/>
      <c r="O51" s="62"/>
      <c r="P51" s="63"/>
      <c r="Q51" s="165">
        <f t="shared" si="8"/>
        <v>0</v>
      </c>
      <c r="R51" s="165">
        <f t="shared" si="8"/>
        <v>0</v>
      </c>
      <c r="S51" s="165">
        <f t="shared" si="8"/>
        <v>0</v>
      </c>
      <c r="U51" s="163">
        <f t="shared" si="14"/>
        <v>0</v>
      </c>
      <c r="V51" s="163">
        <f t="shared" si="14"/>
        <v>0</v>
      </c>
      <c r="W51" s="163">
        <f t="shared" si="14"/>
        <v>0</v>
      </c>
      <c r="X51" s="163">
        <f t="shared" si="15"/>
        <v>0</v>
      </c>
      <c r="Y51" s="163">
        <f t="shared" si="15"/>
        <v>0</v>
      </c>
      <c r="Z51" s="163">
        <f t="shared" si="15"/>
        <v>0</v>
      </c>
      <c r="AA51" s="163">
        <f t="shared" si="9"/>
        <v>0</v>
      </c>
      <c r="AB51" s="163">
        <f t="shared" si="9"/>
        <v>0</v>
      </c>
      <c r="AC51" s="163">
        <f t="shared" si="9"/>
        <v>0</v>
      </c>
      <c r="AE51" s="51" t="s">
        <v>135</v>
      </c>
      <c r="AF51" s="55">
        <v>0.17</v>
      </c>
      <c r="AG51" s="33">
        <v>5.0999999999999996</v>
      </c>
      <c r="AH51" s="33">
        <v>0.7</v>
      </c>
      <c r="AI51" s="33">
        <v>5.4</v>
      </c>
      <c r="AJ51" s="192"/>
      <c r="AK51" s="67"/>
      <c r="AL51" s="54"/>
      <c r="AM51" s="54"/>
      <c r="AN51" s="54"/>
      <c r="AP51" s="54"/>
      <c r="AQ51" s="54"/>
      <c r="AS51" s="39" t="b">
        <f t="shared" si="4"/>
        <v>0</v>
      </c>
    </row>
    <row r="52" spans="2:45" s="5" customFormat="1" ht="14.25" customHeight="1" x14ac:dyDescent="0.25">
      <c r="B52" s="158" t="s">
        <v>160</v>
      </c>
      <c r="C52" s="35" t="s">
        <v>205</v>
      </c>
      <c r="D52" s="10"/>
      <c r="E52" s="10"/>
      <c r="F52" s="45">
        <f t="shared" si="0"/>
        <v>0</v>
      </c>
      <c r="G52" s="27"/>
      <c r="H52" s="58"/>
      <c r="I52" s="58"/>
      <c r="J52" s="64"/>
      <c r="K52" s="65"/>
      <c r="L52" s="58"/>
      <c r="M52" s="60"/>
      <c r="N52" s="61"/>
      <c r="O52" s="62"/>
      <c r="P52" s="63"/>
      <c r="Q52" s="165">
        <f t="shared" si="8"/>
        <v>0</v>
      </c>
      <c r="R52" s="165">
        <f t="shared" si="8"/>
        <v>0</v>
      </c>
      <c r="S52" s="165">
        <f t="shared" si="8"/>
        <v>0</v>
      </c>
      <c r="U52" s="163">
        <f t="shared" si="14"/>
        <v>0</v>
      </c>
      <c r="V52" s="163">
        <f t="shared" si="14"/>
        <v>0</v>
      </c>
      <c r="W52" s="163">
        <f t="shared" si="14"/>
        <v>0</v>
      </c>
      <c r="X52" s="163">
        <f t="shared" si="15"/>
        <v>0</v>
      </c>
      <c r="Y52" s="163">
        <f t="shared" si="15"/>
        <v>0</v>
      </c>
      <c r="Z52" s="163">
        <f t="shared" si="15"/>
        <v>0</v>
      </c>
      <c r="AA52" s="163">
        <f t="shared" si="9"/>
        <v>0</v>
      </c>
      <c r="AB52" s="163">
        <f t="shared" si="9"/>
        <v>0</v>
      </c>
      <c r="AC52" s="163">
        <f t="shared" si="9"/>
        <v>0</v>
      </c>
      <c r="AE52" s="51" t="s">
        <v>135</v>
      </c>
      <c r="AF52" s="55">
        <v>0.17</v>
      </c>
      <c r="AG52" s="33">
        <v>5.7</v>
      </c>
      <c r="AH52" s="33">
        <v>0.4</v>
      </c>
      <c r="AI52" s="33">
        <v>4</v>
      </c>
      <c r="AJ52" s="192"/>
      <c r="AK52" s="67"/>
      <c r="AL52" s="54"/>
      <c r="AM52" s="54"/>
      <c r="AN52" s="54"/>
      <c r="AP52" s="54"/>
      <c r="AQ52" s="54"/>
      <c r="AS52" s="39" t="b">
        <f t="shared" si="4"/>
        <v>0</v>
      </c>
    </row>
    <row r="53" spans="2:45" s="5" customFormat="1" ht="14.25" customHeight="1" x14ac:dyDescent="0.25">
      <c r="B53" s="158" t="s">
        <v>144</v>
      </c>
      <c r="C53" s="35" t="s">
        <v>205</v>
      </c>
      <c r="D53" s="10"/>
      <c r="E53" s="10"/>
      <c r="F53" s="45">
        <f t="shared" si="0"/>
        <v>0</v>
      </c>
      <c r="G53" s="27"/>
      <c r="H53" s="58"/>
      <c r="I53" s="58"/>
      <c r="J53" s="64"/>
      <c r="K53" s="65"/>
      <c r="L53" s="58"/>
      <c r="M53" s="60"/>
      <c r="N53" s="61"/>
      <c r="O53" s="62"/>
      <c r="P53" s="63"/>
      <c r="Q53" s="165">
        <f t="shared" si="8"/>
        <v>0</v>
      </c>
      <c r="R53" s="165">
        <f t="shared" si="8"/>
        <v>0</v>
      </c>
      <c r="S53" s="165">
        <f t="shared" si="8"/>
        <v>0</v>
      </c>
      <c r="U53" s="163">
        <f t="shared" si="14"/>
        <v>0</v>
      </c>
      <c r="V53" s="163">
        <f t="shared" si="14"/>
        <v>0</v>
      </c>
      <c r="W53" s="163">
        <f t="shared" si="14"/>
        <v>0</v>
      </c>
      <c r="X53" s="163">
        <f t="shared" si="15"/>
        <v>0</v>
      </c>
      <c r="Y53" s="163">
        <f t="shared" si="15"/>
        <v>0</v>
      </c>
      <c r="Z53" s="163">
        <f t="shared" si="15"/>
        <v>0</v>
      </c>
      <c r="AA53" s="163">
        <f t="shared" si="9"/>
        <v>0</v>
      </c>
      <c r="AB53" s="163">
        <f t="shared" si="9"/>
        <v>0</v>
      </c>
      <c r="AC53" s="163">
        <f t="shared" si="9"/>
        <v>0</v>
      </c>
      <c r="AE53" s="51" t="s">
        <v>135</v>
      </c>
      <c r="AF53" s="55">
        <v>0.17</v>
      </c>
      <c r="AG53" s="33">
        <v>4</v>
      </c>
      <c r="AH53" s="33">
        <v>0.6</v>
      </c>
      <c r="AI53" s="33">
        <v>4.5</v>
      </c>
      <c r="AJ53" s="192"/>
      <c r="AK53" s="67"/>
      <c r="AL53" s="54"/>
      <c r="AM53" s="54"/>
      <c r="AN53" s="54"/>
      <c r="AP53" s="54"/>
      <c r="AQ53" s="54"/>
      <c r="AS53" s="39" t="b">
        <f t="shared" si="4"/>
        <v>0</v>
      </c>
    </row>
    <row r="54" spans="2:45" s="5" customFormat="1" ht="14.25" customHeight="1" x14ac:dyDescent="0.25">
      <c r="B54" s="158" t="s">
        <v>173</v>
      </c>
      <c r="C54" s="35" t="s">
        <v>234</v>
      </c>
      <c r="D54" s="10"/>
      <c r="E54" s="10"/>
      <c r="F54" s="45">
        <f t="shared" si="0"/>
        <v>0</v>
      </c>
      <c r="G54" s="27"/>
      <c r="H54" s="58"/>
      <c r="I54" s="58"/>
      <c r="J54" s="64"/>
      <c r="K54" s="65"/>
      <c r="L54" s="58"/>
      <c r="M54" s="60"/>
      <c r="N54" s="61"/>
      <c r="O54" s="62"/>
      <c r="P54" s="63"/>
      <c r="Q54" s="165">
        <f t="shared" si="8"/>
        <v>0</v>
      </c>
      <c r="R54" s="165">
        <f t="shared" si="8"/>
        <v>0</v>
      </c>
      <c r="S54" s="165">
        <f t="shared" si="8"/>
        <v>0</v>
      </c>
      <c r="U54" s="163">
        <f t="shared" si="14"/>
        <v>0</v>
      </c>
      <c r="V54" s="163">
        <f t="shared" si="14"/>
        <v>0</v>
      </c>
      <c r="W54" s="163">
        <f t="shared" si="14"/>
        <v>0</v>
      </c>
      <c r="X54" s="163">
        <f t="shared" si="15"/>
        <v>0</v>
      </c>
      <c r="Y54" s="163">
        <f t="shared" si="15"/>
        <v>0</v>
      </c>
      <c r="Z54" s="163">
        <f t="shared" si="15"/>
        <v>0</v>
      </c>
      <c r="AA54" s="163">
        <f t="shared" si="9"/>
        <v>0</v>
      </c>
      <c r="AB54" s="163">
        <f t="shared" si="9"/>
        <v>0</v>
      </c>
      <c r="AC54" s="163">
        <f t="shared" si="9"/>
        <v>0</v>
      </c>
      <c r="AE54" s="51" t="s">
        <v>136</v>
      </c>
      <c r="AF54" s="55">
        <v>0.85</v>
      </c>
      <c r="AG54" s="33">
        <v>24.1</v>
      </c>
      <c r="AH54" s="33">
        <v>2</v>
      </c>
      <c r="AI54" s="33">
        <v>17.899999999999999</v>
      </c>
      <c r="AJ54" s="192"/>
      <c r="AK54" s="67"/>
      <c r="AL54" s="54"/>
      <c r="AM54" s="54"/>
      <c r="AN54" s="54"/>
      <c r="AP54" s="127">
        <v>180</v>
      </c>
      <c r="AQ54" s="57">
        <f>D54*AP54</f>
        <v>0</v>
      </c>
      <c r="AS54" s="39" t="b">
        <f t="shared" si="4"/>
        <v>0</v>
      </c>
    </row>
    <row r="55" spans="2:45" s="5" customFormat="1" ht="14.25" customHeight="1" x14ac:dyDescent="0.25">
      <c r="B55" s="158" t="s">
        <v>174</v>
      </c>
      <c r="C55" s="35" t="s">
        <v>234</v>
      </c>
      <c r="D55" s="10"/>
      <c r="E55" s="10"/>
      <c r="F55" s="45">
        <f t="shared" si="0"/>
        <v>0</v>
      </c>
      <c r="G55" s="27"/>
      <c r="H55" s="58"/>
      <c r="I55" s="58"/>
      <c r="J55" s="64"/>
      <c r="K55" s="65"/>
      <c r="L55" s="58"/>
      <c r="M55" s="60"/>
      <c r="N55" s="61"/>
      <c r="O55" s="62"/>
      <c r="P55" s="63"/>
      <c r="Q55" s="165">
        <f t="shared" si="8"/>
        <v>0</v>
      </c>
      <c r="R55" s="165">
        <f t="shared" si="8"/>
        <v>0</v>
      </c>
      <c r="S55" s="165">
        <f t="shared" si="8"/>
        <v>0</v>
      </c>
      <c r="U55" s="163">
        <f t="shared" si="14"/>
        <v>0</v>
      </c>
      <c r="V55" s="163">
        <f t="shared" si="14"/>
        <v>0</v>
      </c>
      <c r="W55" s="163">
        <f t="shared" si="14"/>
        <v>0</v>
      </c>
      <c r="X55" s="163">
        <f t="shared" si="15"/>
        <v>0</v>
      </c>
      <c r="Y55" s="163">
        <f t="shared" si="15"/>
        <v>0</v>
      </c>
      <c r="Z55" s="163">
        <f t="shared" si="15"/>
        <v>0</v>
      </c>
      <c r="AA55" s="163">
        <f t="shared" si="9"/>
        <v>0</v>
      </c>
      <c r="AB55" s="163">
        <f t="shared" si="9"/>
        <v>0</v>
      </c>
      <c r="AC55" s="163">
        <f t="shared" si="9"/>
        <v>0</v>
      </c>
      <c r="AE55" s="51" t="s">
        <v>136</v>
      </c>
      <c r="AF55" s="55">
        <v>0.85</v>
      </c>
      <c r="AG55" s="33">
        <v>28.3</v>
      </c>
      <c r="AH55" s="33">
        <v>2.2999999999999998</v>
      </c>
      <c r="AI55" s="33">
        <v>18.2</v>
      </c>
      <c r="AJ55" s="192"/>
      <c r="AK55" s="67"/>
      <c r="AL55" s="54"/>
      <c r="AM55" s="54"/>
      <c r="AN55" s="54"/>
      <c r="AP55" s="127">
        <v>180</v>
      </c>
      <c r="AQ55" s="57">
        <f>D55*AP55</f>
        <v>0</v>
      </c>
      <c r="AS55" s="39" t="b">
        <f t="shared" si="4"/>
        <v>0</v>
      </c>
    </row>
    <row r="56" spans="2:45" s="5" customFormat="1" ht="14.25" customHeight="1" x14ac:dyDescent="0.25">
      <c r="B56" s="158" t="s">
        <v>187</v>
      </c>
      <c r="C56" s="35" t="s">
        <v>234</v>
      </c>
      <c r="D56" s="10"/>
      <c r="E56" s="10"/>
      <c r="F56" s="45">
        <f t="shared" si="0"/>
        <v>0</v>
      </c>
      <c r="G56" s="27"/>
      <c r="H56" s="58"/>
      <c r="I56" s="58"/>
      <c r="J56" s="64"/>
      <c r="K56" s="65"/>
      <c r="L56" s="58"/>
      <c r="M56" s="60"/>
      <c r="N56" s="61"/>
      <c r="O56" s="62"/>
      <c r="P56" s="63"/>
      <c r="Q56" s="165">
        <f t="shared" si="8"/>
        <v>0</v>
      </c>
      <c r="R56" s="165">
        <f t="shared" si="8"/>
        <v>0</v>
      </c>
      <c r="S56" s="165">
        <f t="shared" si="8"/>
        <v>0</v>
      </c>
      <c r="U56" s="163">
        <f t="shared" si="14"/>
        <v>0</v>
      </c>
      <c r="V56" s="163">
        <f t="shared" si="14"/>
        <v>0</v>
      </c>
      <c r="W56" s="163">
        <f t="shared" si="14"/>
        <v>0</v>
      </c>
      <c r="X56" s="163">
        <f t="shared" si="15"/>
        <v>0</v>
      </c>
      <c r="Y56" s="163">
        <f t="shared" si="15"/>
        <v>0</v>
      </c>
      <c r="Z56" s="163">
        <f t="shared" si="15"/>
        <v>0</v>
      </c>
      <c r="AA56" s="163">
        <f t="shared" si="9"/>
        <v>0</v>
      </c>
      <c r="AB56" s="163">
        <f t="shared" si="9"/>
        <v>0</v>
      </c>
      <c r="AC56" s="163">
        <f t="shared" si="9"/>
        <v>0</v>
      </c>
      <c r="AE56" s="51" t="s">
        <v>136</v>
      </c>
      <c r="AF56" s="55">
        <v>0.85</v>
      </c>
      <c r="AG56" s="33">
        <v>28.3</v>
      </c>
      <c r="AH56" s="33">
        <v>2.2999999999999998</v>
      </c>
      <c r="AI56" s="33">
        <v>18.2</v>
      </c>
      <c r="AJ56" s="192"/>
      <c r="AK56" s="67"/>
      <c r="AL56" s="54"/>
      <c r="AM56" s="54"/>
      <c r="AN56" s="54"/>
      <c r="AP56" s="127">
        <v>80</v>
      </c>
      <c r="AQ56" s="57">
        <f>D56*AP56</f>
        <v>0</v>
      </c>
      <c r="AS56" s="39" t="b">
        <f t="shared" si="4"/>
        <v>0</v>
      </c>
    </row>
    <row r="57" spans="2:45" s="5" customFormat="1" ht="14.25" customHeight="1" x14ac:dyDescent="0.25">
      <c r="B57" s="159" t="s">
        <v>146</v>
      </c>
      <c r="C57" s="36"/>
      <c r="D57" s="10"/>
      <c r="E57" s="10"/>
      <c r="F57" s="45">
        <f t="shared" si="0"/>
        <v>0</v>
      </c>
      <c r="G57" s="27"/>
      <c r="H57" s="9"/>
      <c r="I57" s="46">
        <f>IF(L57=0,IF(F57=0,G57*K57*H57,F57*K57*H57),0)</f>
        <v>0</v>
      </c>
      <c r="J57" s="47" t="s">
        <v>169</v>
      </c>
      <c r="K57" s="48">
        <v>8</v>
      </c>
      <c r="L57" s="9">
        <v>0</v>
      </c>
      <c r="M57" s="47" t="s">
        <v>272</v>
      </c>
      <c r="N57" s="48" t="str">
        <f>IF(H57=0,"",IF(F57+G57=0,"",IF(L57=0,0,IF(G57=0,(L57/H57)/F57,(L57/H57)/G57))))</f>
        <v/>
      </c>
      <c r="O57" s="49">
        <f>D57-H57</f>
        <v>0</v>
      </c>
      <c r="P57" s="50" t="str">
        <f>IF(O57&lt;0,"!",IF(AS57=TRUE,"!",""))</f>
        <v/>
      </c>
      <c r="Q57" s="165">
        <f t="shared" si="8"/>
        <v>0</v>
      </c>
      <c r="R57" s="165">
        <f t="shared" si="8"/>
        <v>0</v>
      </c>
      <c r="S57" s="165">
        <f t="shared" si="8"/>
        <v>0</v>
      </c>
      <c r="U57" s="163">
        <f t="shared" si="14"/>
        <v>0</v>
      </c>
      <c r="V57" s="163">
        <f t="shared" si="14"/>
        <v>0</v>
      </c>
      <c r="W57" s="163">
        <f t="shared" si="14"/>
        <v>0</v>
      </c>
      <c r="X57" s="163">
        <f t="shared" si="15"/>
        <v>0</v>
      </c>
      <c r="Y57" s="163">
        <f t="shared" si="15"/>
        <v>0</v>
      </c>
      <c r="Z57" s="163">
        <f t="shared" si="15"/>
        <v>0</v>
      </c>
      <c r="AA57" s="163">
        <f t="shared" si="9"/>
        <v>0</v>
      </c>
      <c r="AB57" s="163">
        <f t="shared" si="9"/>
        <v>0</v>
      </c>
      <c r="AC57" s="163">
        <f t="shared" si="9"/>
        <v>0</v>
      </c>
      <c r="AE57" s="51" t="s">
        <v>141</v>
      </c>
      <c r="AF57" s="55">
        <v>0.91</v>
      </c>
      <c r="AG57" s="33">
        <v>55</v>
      </c>
      <c r="AH57" s="33">
        <v>6.4</v>
      </c>
      <c r="AI57" s="33">
        <v>5.8</v>
      </c>
      <c r="AJ57" s="191" t="s">
        <v>145</v>
      </c>
      <c r="AK57" s="56">
        <v>0.91</v>
      </c>
      <c r="AL57" s="53">
        <v>15</v>
      </c>
      <c r="AM57" s="53">
        <v>1.3</v>
      </c>
      <c r="AN57" s="53">
        <v>22.8</v>
      </c>
      <c r="AP57" s="54">
        <v>0</v>
      </c>
      <c r="AQ57" s="54"/>
      <c r="AS57" s="39" t="b">
        <f t="shared" si="4"/>
        <v>0</v>
      </c>
    </row>
    <row r="58" spans="2:45" s="5" customFormat="1" ht="14.25" customHeight="1" x14ac:dyDescent="0.25">
      <c r="B58" s="158" t="s">
        <v>77</v>
      </c>
      <c r="C58" s="35" t="s">
        <v>234</v>
      </c>
      <c r="D58" s="10"/>
      <c r="E58" s="10"/>
      <c r="F58" s="45">
        <f t="shared" si="0"/>
        <v>0</v>
      </c>
      <c r="G58" s="27"/>
      <c r="H58" s="62"/>
      <c r="I58" s="62"/>
      <c r="J58" s="64"/>
      <c r="K58" s="65"/>
      <c r="L58" s="62"/>
      <c r="M58" s="60"/>
      <c r="N58" s="61"/>
      <c r="O58" s="62"/>
      <c r="P58" s="63"/>
      <c r="Q58" s="165">
        <f t="shared" si="8"/>
        <v>0</v>
      </c>
      <c r="R58" s="165">
        <f t="shared" si="8"/>
        <v>0</v>
      </c>
      <c r="S58" s="165">
        <f t="shared" si="8"/>
        <v>0</v>
      </c>
      <c r="U58" s="163">
        <f t="shared" si="14"/>
        <v>0</v>
      </c>
      <c r="V58" s="163">
        <f t="shared" si="14"/>
        <v>0</v>
      </c>
      <c r="W58" s="163">
        <f t="shared" si="14"/>
        <v>0</v>
      </c>
      <c r="X58" s="163">
        <f t="shared" si="15"/>
        <v>0</v>
      </c>
      <c r="Y58" s="163">
        <f t="shared" si="15"/>
        <v>0</v>
      </c>
      <c r="Z58" s="163">
        <f t="shared" si="15"/>
        <v>0</v>
      </c>
      <c r="AA58" s="163">
        <f t="shared" si="9"/>
        <v>0</v>
      </c>
      <c r="AB58" s="163">
        <f t="shared" si="9"/>
        <v>0</v>
      </c>
      <c r="AC58" s="163">
        <f t="shared" si="9"/>
        <v>0</v>
      </c>
      <c r="AE58" s="51" t="s">
        <v>136</v>
      </c>
      <c r="AF58" s="55">
        <v>0.85</v>
      </c>
      <c r="AG58" s="33">
        <v>21.8</v>
      </c>
      <c r="AH58" s="33">
        <v>2</v>
      </c>
      <c r="AI58" s="33">
        <v>19</v>
      </c>
      <c r="AJ58" s="192"/>
      <c r="AK58" s="67"/>
      <c r="AL58" s="54"/>
      <c r="AM58" s="54"/>
      <c r="AN58" s="54"/>
      <c r="AP58" s="127">
        <v>80</v>
      </c>
      <c r="AQ58" s="57">
        <f>D58*AP58</f>
        <v>0</v>
      </c>
      <c r="AS58" s="39" t="b">
        <f t="shared" si="4"/>
        <v>0</v>
      </c>
    </row>
    <row r="59" spans="2:45" s="5" customFormat="1" ht="14.25" customHeight="1" x14ac:dyDescent="0.25">
      <c r="B59" s="158" t="s">
        <v>78</v>
      </c>
      <c r="C59" s="35" t="s">
        <v>234</v>
      </c>
      <c r="D59" s="10"/>
      <c r="E59" s="10"/>
      <c r="F59" s="45">
        <f t="shared" si="0"/>
        <v>0</v>
      </c>
      <c r="G59" s="27"/>
      <c r="H59" s="62"/>
      <c r="I59" s="62"/>
      <c r="J59" s="64"/>
      <c r="K59" s="65"/>
      <c r="L59" s="62"/>
      <c r="M59" s="60"/>
      <c r="N59" s="61"/>
      <c r="O59" s="62"/>
      <c r="P59" s="63"/>
      <c r="Q59" s="165">
        <f t="shared" si="8"/>
        <v>0</v>
      </c>
      <c r="R59" s="165">
        <f t="shared" si="8"/>
        <v>0</v>
      </c>
      <c r="S59" s="165">
        <f t="shared" si="8"/>
        <v>0</v>
      </c>
      <c r="U59" s="163">
        <f t="shared" si="14"/>
        <v>0</v>
      </c>
      <c r="V59" s="163">
        <f t="shared" si="14"/>
        <v>0</v>
      </c>
      <c r="W59" s="163">
        <f t="shared" si="14"/>
        <v>0</v>
      </c>
      <c r="X59" s="163">
        <f t="shared" si="15"/>
        <v>0</v>
      </c>
      <c r="Y59" s="163">
        <f t="shared" si="15"/>
        <v>0</v>
      </c>
      <c r="Z59" s="163">
        <f t="shared" si="15"/>
        <v>0</v>
      </c>
      <c r="AA59" s="163">
        <f t="shared" si="9"/>
        <v>0</v>
      </c>
      <c r="AB59" s="163">
        <f t="shared" si="9"/>
        <v>0</v>
      </c>
      <c r="AC59" s="163">
        <f t="shared" si="9"/>
        <v>0</v>
      </c>
      <c r="AE59" s="87" t="s">
        <v>136</v>
      </c>
      <c r="AF59" s="55">
        <v>0.85</v>
      </c>
      <c r="AG59" s="33">
        <v>21.1</v>
      </c>
      <c r="AH59" s="33">
        <v>2.8</v>
      </c>
      <c r="AI59" s="33">
        <v>19.8</v>
      </c>
      <c r="AJ59" s="192"/>
      <c r="AK59" s="67"/>
      <c r="AL59" s="54"/>
      <c r="AM59" s="54"/>
      <c r="AN59" s="54"/>
      <c r="AP59" s="127">
        <v>80</v>
      </c>
      <c r="AQ59" s="57">
        <f>D59*AP59</f>
        <v>0</v>
      </c>
      <c r="AS59" s="39" t="b">
        <f t="shared" si="4"/>
        <v>0</v>
      </c>
    </row>
    <row r="60" spans="2:45" s="5" customFormat="1" ht="14.25" customHeight="1" x14ac:dyDescent="0.25">
      <c r="B60" s="158" t="s">
        <v>79</v>
      </c>
      <c r="C60" s="35" t="s">
        <v>234</v>
      </c>
      <c r="D60" s="10"/>
      <c r="E60" s="10"/>
      <c r="F60" s="45">
        <f t="shared" si="0"/>
        <v>0</v>
      </c>
      <c r="G60" s="27"/>
      <c r="H60" s="62"/>
      <c r="I60" s="62"/>
      <c r="J60" s="64"/>
      <c r="K60" s="65"/>
      <c r="L60" s="62"/>
      <c r="M60" s="60"/>
      <c r="N60" s="61"/>
      <c r="O60" s="62"/>
      <c r="P60" s="63"/>
      <c r="Q60" s="165">
        <f t="shared" si="8"/>
        <v>0</v>
      </c>
      <c r="R60" s="165">
        <f t="shared" si="8"/>
        <v>0</v>
      </c>
      <c r="S60" s="165">
        <f t="shared" si="8"/>
        <v>0</v>
      </c>
      <c r="U60" s="163">
        <f t="shared" si="14"/>
        <v>0</v>
      </c>
      <c r="V60" s="163">
        <f t="shared" si="14"/>
        <v>0</v>
      </c>
      <c r="W60" s="163">
        <f t="shared" si="14"/>
        <v>0</v>
      </c>
      <c r="X60" s="163">
        <f t="shared" si="15"/>
        <v>0</v>
      </c>
      <c r="Y60" s="163">
        <f t="shared" si="15"/>
        <v>0</v>
      </c>
      <c r="Z60" s="163">
        <f t="shared" si="15"/>
        <v>0</v>
      </c>
      <c r="AA60" s="163">
        <f t="shared" si="9"/>
        <v>0</v>
      </c>
      <c r="AB60" s="163">
        <f t="shared" si="9"/>
        <v>0</v>
      </c>
      <c r="AC60" s="163">
        <f t="shared" si="9"/>
        <v>0</v>
      </c>
      <c r="AE60" s="51" t="s">
        <v>136</v>
      </c>
      <c r="AF60" s="55">
        <v>0.85</v>
      </c>
      <c r="AG60" s="33">
        <v>20.399999999999999</v>
      </c>
      <c r="AH60" s="33">
        <v>3</v>
      </c>
      <c r="AI60" s="33">
        <v>23</v>
      </c>
      <c r="AJ60" s="192"/>
      <c r="AK60" s="67"/>
      <c r="AL60" s="54"/>
      <c r="AM60" s="54"/>
      <c r="AN60" s="54"/>
      <c r="AP60" s="127">
        <v>80</v>
      </c>
      <c r="AQ60" s="57">
        <f>D60*AP60</f>
        <v>0</v>
      </c>
      <c r="AS60" s="39" t="b">
        <f t="shared" si="4"/>
        <v>0</v>
      </c>
    </row>
    <row r="61" spans="2:45" s="5" customFormat="1" ht="14.25" customHeight="1" x14ac:dyDescent="0.25">
      <c r="B61" s="158" t="s">
        <v>186</v>
      </c>
      <c r="C61" s="35" t="s">
        <v>234</v>
      </c>
      <c r="D61" s="10"/>
      <c r="E61" s="10"/>
      <c r="F61" s="45">
        <f t="shared" si="0"/>
        <v>0</v>
      </c>
      <c r="G61" s="27"/>
      <c r="H61" s="62"/>
      <c r="I61" s="62"/>
      <c r="J61" s="64"/>
      <c r="K61" s="65"/>
      <c r="L61" s="62"/>
      <c r="M61" s="60"/>
      <c r="N61" s="61"/>
      <c r="O61" s="62"/>
      <c r="P61" s="63"/>
      <c r="Q61" s="165">
        <f t="shared" si="8"/>
        <v>0</v>
      </c>
      <c r="R61" s="165">
        <f t="shared" si="8"/>
        <v>0</v>
      </c>
      <c r="S61" s="165">
        <f t="shared" si="8"/>
        <v>0</v>
      </c>
      <c r="U61" s="163">
        <f t="shared" si="14"/>
        <v>0</v>
      </c>
      <c r="V61" s="163">
        <f t="shared" si="14"/>
        <v>0</v>
      </c>
      <c r="W61" s="163">
        <f t="shared" si="14"/>
        <v>0</v>
      </c>
      <c r="X61" s="163">
        <f t="shared" si="15"/>
        <v>0</v>
      </c>
      <c r="Y61" s="163">
        <f t="shared" si="15"/>
        <v>0</v>
      </c>
      <c r="Z61" s="163">
        <f t="shared" si="15"/>
        <v>0</v>
      </c>
      <c r="AA61" s="163">
        <f t="shared" si="9"/>
        <v>0</v>
      </c>
      <c r="AB61" s="163">
        <f t="shared" si="9"/>
        <v>0</v>
      </c>
      <c r="AC61" s="163">
        <f t="shared" si="9"/>
        <v>0</v>
      </c>
      <c r="AE61" s="51" t="s">
        <v>136</v>
      </c>
      <c r="AF61" s="55">
        <v>0.85</v>
      </c>
      <c r="AG61" s="33">
        <v>21.7</v>
      </c>
      <c r="AH61" s="33">
        <v>2.6</v>
      </c>
      <c r="AI61" s="33">
        <v>20.8</v>
      </c>
      <c r="AJ61" s="192"/>
      <c r="AK61" s="67"/>
      <c r="AL61" s="54"/>
      <c r="AM61" s="54"/>
      <c r="AN61" s="54"/>
      <c r="AP61" s="68"/>
      <c r="AQ61" s="68"/>
      <c r="AS61" s="39" t="b">
        <f t="shared" si="4"/>
        <v>0</v>
      </c>
    </row>
    <row r="62" spans="2:45" s="5" customFormat="1" ht="14.25" customHeight="1" x14ac:dyDescent="0.25">
      <c r="B62" s="159" t="s">
        <v>147</v>
      </c>
      <c r="C62" s="36"/>
      <c r="D62" s="10"/>
      <c r="E62" s="10"/>
      <c r="F62" s="45">
        <f t="shared" si="0"/>
        <v>0</v>
      </c>
      <c r="G62" s="27"/>
      <c r="H62" s="9"/>
      <c r="I62" s="46">
        <f>IF(L62=0,IF(F62=0,G62*K62*H62,F62*K62*H62),0)</f>
        <v>0</v>
      </c>
      <c r="J62" s="47" t="s">
        <v>169</v>
      </c>
      <c r="K62" s="48">
        <v>8</v>
      </c>
      <c r="L62" s="9"/>
      <c r="M62" s="47" t="s">
        <v>272</v>
      </c>
      <c r="N62" s="48" t="str">
        <f>IF(H62=0,"",IF(F62+G62=0,"",IF(L62=0,0,IF(G62=0,(L62/H62)/F62,(L62/H62)/G62))))</f>
        <v/>
      </c>
      <c r="O62" s="49">
        <f>D62-H62</f>
        <v>0</v>
      </c>
      <c r="P62" s="50" t="str">
        <f>IF(O62&lt;0,"!",IF(AS62=TRUE,"!",""))</f>
        <v/>
      </c>
      <c r="Q62" s="165">
        <f t="shared" si="8"/>
        <v>0</v>
      </c>
      <c r="R62" s="165">
        <f t="shared" si="8"/>
        <v>0</v>
      </c>
      <c r="S62" s="165">
        <f t="shared" si="8"/>
        <v>0</v>
      </c>
      <c r="U62" s="163">
        <f t="shared" si="14"/>
        <v>0</v>
      </c>
      <c r="V62" s="163">
        <f t="shared" si="14"/>
        <v>0</v>
      </c>
      <c r="W62" s="163">
        <f t="shared" si="14"/>
        <v>0</v>
      </c>
      <c r="X62" s="163">
        <f t="shared" si="15"/>
        <v>0</v>
      </c>
      <c r="Y62" s="163">
        <f t="shared" si="15"/>
        <v>0</v>
      </c>
      <c r="Z62" s="163">
        <f t="shared" si="15"/>
        <v>0</v>
      </c>
      <c r="AA62" s="163">
        <f t="shared" si="9"/>
        <v>0</v>
      </c>
      <c r="AB62" s="163">
        <f t="shared" si="9"/>
        <v>0</v>
      </c>
      <c r="AC62" s="163">
        <f t="shared" si="9"/>
        <v>0</v>
      </c>
      <c r="AE62" s="51" t="s">
        <v>141</v>
      </c>
      <c r="AF62" s="55">
        <v>0.91</v>
      </c>
      <c r="AG62" s="33">
        <v>23.4</v>
      </c>
      <c r="AH62" s="33">
        <v>3.6</v>
      </c>
      <c r="AI62" s="33">
        <v>5.8</v>
      </c>
      <c r="AJ62" s="191" t="s">
        <v>145</v>
      </c>
      <c r="AK62" s="56">
        <v>0.91</v>
      </c>
      <c r="AL62" s="53">
        <v>15.8</v>
      </c>
      <c r="AM62" s="53">
        <v>1.4</v>
      </c>
      <c r="AN62" s="53">
        <v>22.8</v>
      </c>
      <c r="AP62" s="68"/>
      <c r="AQ62" s="68"/>
      <c r="AS62" s="39" t="b">
        <f t="shared" si="4"/>
        <v>0</v>
      </c>
    </row>
    <row r="63" spans="2:45" s="5" customFormat="1" ht="14.25" customHeight="1" x14ac:dyDescent="0.25">
      <c r="B63" s="158" t="s">
        <v>63</v>
      </c>
      <c r="C63" s="36"/>
      <c r="D63" s="10"/>
      <c r="E63" s="10"/>
      <c r="F63" s="45">
        <f t="shared" si="0"/>
        <v>0</v>
      </c>
      <c r="G63" s="27"/>
      <c r="H63" s="58"/>
      <c r="I63" s="58"/>
      <c r="J63" s="64"/>
      <c r="K63" s="65"/>
      <c r="L63" s="58"/>
      <c r="M63" s="60"/>
      <c r="N63" s="61"/>
      <c r="O63" s="62"/>
      <c r="P63" s="63"/>
      <c r="Q63" s="165">
        <f t="shared" si="8"/>
        <v>0</v>
      </c>
      <c r="R63" s="165">
        <f t="shared" si="8"/>
        <v>0</v>
      </c>
      <c r="S63" s="165">
        <f t="shared" si="8"/>
        <v>0</v>
      </c>
      <c r="U63" s="163">
        <f t="shared" si="14"/>
        <v>0</v>
      </c>
      <c r="V63" s="163">
        <f t="shared" si="14"/>
        <v>0</v>
      </c>
      <c r="W63" s="163">
        <f t="shared" si="14"/>
        <v>0</v>
      </c>
      <c r="X63" s="163">
        <f t="shared" si="15"/>
        <v>0</v>
      </c>
      <c r="Y63" s="163">
        <f t="shared" si="15"/>
        <v>0</v>
      </c>
      <c r="Z63" s="163">
        <f t="shared" si="15"/>
        <v>0</v>
      </c>
      <c r="AA63" s="163">
        <f t="shared" si="9"/>
        <v>0</v>
      </c>
      <c r="AB63" s="163">
        <f t="shared" si="9"/>
        <v>0</v>
      </c>
      <c r="AC63" s="163">
        <f t="shared" si="9"/>
        <v>0</v>
      </c>
      <c r="AE63" s="51"/>
      <c r="AF63" s="55"/>
      <c r="AG63" s="33">
        <v>3</v>
      </c>
      <c r="AH63" s="33">
        <v>0.9</v>
      </c>
      <c r="AI63" s="33">
        <v>5</v>
      </c>
      <c r="AJ63" s="193"/>
      <c r="AK63" s="67"/>
      <c r="AL63" s="54"/>
      <c r="AM63" s="54"/>
      <c r="AN63" s="54"/>
      <c r="AP63" s="68"/>
      <c r="AQ63" s="68"/>
      <c r="AS63" s="39" t="b">
        <f t="shared" si="4"/>
        <v>0</v>
      </c>
    </row>
    <row r="64" spans="2:45" s="5" customFormat="1" ht="14.25" customHeight="1" x14ac:dyDescent="0.25">
      <c r="B64" s="158" t="s">
        <v>67</v>
      </c>
      <c r="C64" s="36"/>
      <c r="D64" s="10"/>
      <c r="E64" s="10"/>
      <c r="F64" s="45">
        <f t="shared" si="0"/>
        <v>0</v>
      </c>
      <c r="G64" s="27"/>
      <c r="H64" s="58"/>
      <c r="I64" s="58"/>
      <c r="J64" s="64"/>
      <c r="K64" s="65"/>
      <c r="L64" s="58"/>
      <c r="M64" s="60"/>
      <c r="N64" s="61"/>
      <c r="O64" s="62"/>
      <c r="P64" s="63"/>
      <c r="Q64" s="165">
        <f t="shared" si="8"/>
        <v>0</v>
      </c>
      <c r="R64" s="165">
        <f t="shared" si="8"/>
        <v>0</v>
      </c>
      <c r="S64" s="165">
        <f t="shared" si="8"/>
        <v>0</v>
      </c>
      <c r="U64" s="163">
        <f t="shared" si="14"/>
        <v>0</v>
      </c>
      <c r="V64" s="163">
        <f t="shared" si="14"/>
        <v>0</v>
      </c>
      <c r="W64" s="163">
        <f t="shared" si="14"/>
        <v>0</v>
      </c>
      <c r="X64" s="163">
        <f t="shared" si="15"/>
        <v>0</v>
      </c>
      <c r="Y64" s="163">
        <f t="shared" si="15"/>
        <v>0</v>
      </c>
      <c r="Z64" s="163">
        <f t="shared" si="15"/>
        <v>0</v>
      </c>
      <c r="AA64" s="163">
        <f t="shared" si="9"/>
        <v>0</v>
      </c>
      <c r="AB64" s="163">
        <f t="shared" si="9"/>
        <v>0</v>
      </c>
      <c r="AC64" s="163">
        <f t="shared" si="9"/>
        <v>0</v>
      </c>
      <c r="AE64" s="51"/>
      <c r="AF64" s="55"/>
      <c r="AG64" s="33">
        <v>2</v>
      </c>
      <c r="AH64" s="33">
        <v>0.4</v>
      </c>
      <c r="AI64" s="33">
        <v>3.7</v>
      </c>
      <c r="AJ64" s="193"/>
      <c r="AK64" s="67"/>
      <c r="AL64" s="54"/>
      <c r="AM64" s="54"/>
      <c r="AN64" s="54"/>
      <c r="AP64" s="68"/>
      <c r="AQ64" s="68"/>
      <c r="AS64" s="39" t="b">
        <f t="shared" si="4"/>
        <v>0</v>
      </c>
    </row>
    <row r="65" spans="2:45" s="5" customFormat="1" ht="14.25" customHeight="1" x14ac:dyDescent="0.25">
      <c r="B65" s="158" t="s">
        <v>70</v>
      </c>
      <c r="C65" s="36"/>
      <c r="D65" s="10"/>
      <c r="E65" s="10"/>
      <c r="F65" s="45">
        <f t="shared" si="0"/>
        <v>0</v>
      </c>
      <c r="G65" s="27"/>
      <c r="H65" s="58"/>
      <c r="I65" s="58"/>
      <c r="J65" s="64"/>
      <c r="K65" s="65"/>
      <c r="L65" s="58"/>
      <c r="M65" s="60"/>
      <c r="N65" s="61"/>
      <c r="O65" s="62"/>
      <c r="P65" s="63"/>
      <c r="Q65" s="165">
        <f t="shared" si="8"/>
        <v>0</v>
      </c>
      <c r="R65" s="165">
        <f t="shared" si="8"/>
        <v>0</v>
      </c>
      <c r="S65" s="165">
        <f t="shared" si="8"/>
        <v>0</v>
      </c>
      <c r="U65" s="163">
        <f t="shared" si="14"/>
        <v>0</v>
      </c>
      <c r="V65" s="163">
        <f t="shared" si="14"/>
        <v>0</v>
      </c>
      <c r="W65" s="163">
        <f t="shared" si="14"/>
        <v>0</v>
      </c>
      <c r="X65" s="163">
        <f t="shared" si="15"/>
        <v>0</v>
      </c>
      <c r="Y65" s="163">
        <f t="shared" si="15"/>
        <v>0</v>
      </c>
      <c r="Z65" s="163">
        <f t="shared" si="15"/>
        <v>0</v>
      </c>
      <c r="AA65" s="163">
        <f t="shared" si="9"/>
        <v>0</v>
      </c>
      <c r="AB65" s="163">
        <f t="shared" si="9"/>
        <v>0</v>
      </c>
      <c r="AC65" s="163">
        <f t="shared" si="9"/>
        <v>0</v>
      </c>
      <c r="AE65" s="51"/>
      <c r="AF65" s="55"/>
      <c r="AG65" s="33">
        <v>3</v>
      </c>
      <c r="AH65" s="33">
        <v>0.7</v>
      </c>
      <c r="AI65" s="33">
        <v>4.2</v>
      </c>
      <c r="AJ65" s="193"/>
      <c r="AK65" s="67"/>
      <c r="AL65" s="54"/>
      <c r="AM65" s="54"/>
      <c r="AN65" s="54"/>
      <c r="AP65" s="68"/>
      <c r="AQ65" s="68"/>
      <c r="AS65" s="39" t="b">
        <f t="shared" si="4"/>
        <v>0</v>
      </c>
    </row>
    <row r="66" spans="2:45" s="5" customFormat="1" ht="14.25" customHeight="1" x14ac:dyDescent="0.25">
      <c r="B66" s="158" t="s">
        <v>62</v>
      </c>
      <c r="C66" s="36"/>
      <c r="D66" s="10"/>
      <c r="E66" s="10"/>
      <c r="F66" s="45">
        <f t="shared" si="0"/>
        <v>0</v>
      </c>
      <c r="G66" s="27"/>
      <c r="H66" s="58"/>
      <c r="I66" s="58"/>
      <c r="J66" s="64"/>
      <c r="K66" s="65"/>
      <c r="L66" s="58"/>
      <c r="M66" s="60"/>
      <c r="N66" s="61"/>
      <c r="O66" s="62"/>
      <c r="P66" s="63"/>
      <c r="Q66" s="165">
        <f t="shared" si="8"/>
        <v>0</v>
      </c>
      <c r="R66" s="165">
        <f t="shared" si="8"/>
        <v>0</v>
      </c>
      <c r="S66" s="165">
        <f t="shared" si="8"/>
        <v>0</v>
      </c>
      <c r="U66" s="163">
        <f t="shared" si="14"/>
        <v>0</v>
      </c>
      <c r="V66" s="163">
        <f t="shared" si="14"/>
        <v>0</v>
      </c>
      <c r="W66" s="163">
        <f t="shared" si="14"/>
        <v>0</v>
      </c>
      <c r="X66" s="163">
        <f t="shared" si="15"/>
        <v>0</v>
      </c>
      <c r="Y66" s="163">
        <f t="shared" si="15"/>
        <v>0</v>
      </c>
      <c r="Z66" s="163">
        <f t="shared" si="15"/>
        <v>0</v>
      </c>
      <c r="AA66" s="163">
        <f t="shared" si="9"/>
        <v>0</v>
      </c>
      <c r="AB66" s="163">
        <f t="shared" si="9"/>
        <v>0</v>
      </c>
      <c r="AC66" s="163">
        <f t="shared" si="9"/>
        <v>0</v>
      </c>
      <c r="AE66" s="51"/>
      <c r="AF66" s="55"/>
      <c r="AG66" s="33">
        <v>2</v>
      </c>
      <c r="AH66" s="33">
        <v>0.4</v>
      </c>
      <c r="AI66" s="33">
        <v>1.7</v>
      </c>
      <c r="AJ66" s="193"/>
      <c r="AK66" s="67"/>
      <c r="AL66" s="54"/>
      <c r="AM66" s="54"/>
      <c r="AN66" s="54"/>
      <c r="AP66" s="68"/>
      <c r="AQ66" s="68"/>
      <c r="AS66" s="39" t="b">
        <f t="shared" si="4"/>
        <v>0</v>
      </c>
    </row>
    <row r="67" spans="2:45" s="5" customFormat="1" ht="14.25" customHeight="1" x14ac:dyDescent="0.25">
      <c r="B67" s="158" t="s">
        <v>65</v>
      </c>
      <c r="C67" s="36"/>
      <c r="D67" s="10"/>
      <c r="E67" s="10"/>
      <c r="F67" s="45">
        <f t="shared" si="0"/>
        <v>0</v>
      </c>
      <c r="G67" s="27"/>
      <c r="H67" s="58"/>
      <c r="I67" s="58"/>
      <c r="J67" s="64"/>
      <c r="K67" s="65"/>
      <c r="L67" s="58"/>
      <c r="M67" s="60"/>
      <c r="N67" s="61"/>
      <c r="O67" s="62"/>
      <c r="P67" s="63"/>
      <c r="Q67" s="165">
        <f t="shared" si="8"/>
        <v>0</v>
      </c>
      <c r="R67" s="165">
        <f t="shared" si="8"/>
        <v>0</v>
      </c>
      <c r="S67" s="165">
        <f t="shared" si="8"/>
        <v>0</v>
      </c>
      <c r="U67" s="163">
        <f t="shared" si="14"/>
        <v>0</v>
      </c>
      <c r="V67" s="163">
        <f t="shared" si="14"/>
        <v>0</v>
      </c>
      <c r="W67" s="163">
        <f t="shared" si="14"/>
        <v>0</v>
      </c>
      <c r="X67" s="163">
        <f t="shared" si="15"/>
        <v>0</v>
      </c>
      <c r="Y67" s="163">
        <f t="shared" si="15"/>
        <v>0</v>
      </c>
      <c r="Z67" s="163">
        <f t="shared" si="15"/>
        <v>0</v>
      </c>
      <c r="AA67" s="163">
        <f t="shared" si="9"/>
        <v>0</v>
      </c>
      <c r="AB67" s="163">
        <f t="shared" si="9"/>
        <v>0</v>
      </c>
      <c r="AC67" s="163">
        <f t="shared" si="9"/>
        <v>0</v>
      </c>
      <c r="AE67" s="51"/>
      <c r="AF67" s="55"/>
      <c r="AG67" s="33">
        <v>3</v>
      </c>
      <c r="AH67" s="33">
        <v>0.4</v>
      </c>
      <c r="AI67" s="33">
        <v>3.7</v>
      </c>
      <c r="AJ67" s="193"/>
      <c r="AK67" s="67"/>
      <c r="AL67" s="54"/>
      <c r="AM67" s="54"/>
      <c r="AN67" s="54"/>
      <c r="AP67" s="68"/>
      <c r="AQ67" s="68"/>
      <c r="AS67" s="39" t="b">
        <f t="shared" si="4"/>
        <v>0</v>
      </c>
    </row>
    <row r="68" spans="2:45" s="5" customFormat="1" ht="14.25" customHeight="1" x14ac:dyDescent="0.25">
      <c r="B68" s="158" t="s">
        <v>64</v>
      </c>
      <c r="C68" s="36"/>
      <c r="D68" s="10"/>
      <c r="E68" s="10"/>
      <c r="F68" s="45">
        <f t="shared" si="0"/>
        <v>0</v>
      </c>
      <c r="G68" s="27"/>
      <c r="H68" s="58"/>
      <c r="I68" s="58"/>
      <c r="J68" s="64"/>
      <c r="K68" s="65"/>
      <c r="L68" s="58"/>
      <c r="M68" s="60"/>
      <c r="N68" s="61"/>
      <c r="O68" s="62"/>
      <c r="P68" s="63"/>
      <c r="Q68" s="165">
        <f t="shared" si="8"/>
        <v>0</v>
      </c>
      <c r="R68" s="165">
        <f t="shared" si="8"/>
        <v>0</v>
      </c>
      <c r="S68" s="165">
        <f t="shared" si="8"/>
        <v>0</v>
      </c>
      <c r="U68" s="163">
        <f t="shared" si="14"/>
        <v>0</v>
      </c>
      <c r="V68" s="163">
        <f t="shared" si="14"/>
        <v>0</v>
      </c>
      <c r="W68" s="163">
        <f t="shared" si="14"/>
        <v>0</v>
      </c>
      <c r="X68" s="163">
        <f t="shared" si="15"/>
        <v>0</v>
      </c>
      <c r="Y68" s="163">
        <f t="shared" si="15"/>
        <v>0</v>
      </c>
      <c r="Z68" s="163">
        <f t="shared" si="15"/>
        <v>0</v>
      </c>
      <c r="AA68" s="163">
        <f t="shared" si="9"/>
        <v>0</v>
      </c>
      <c r="AB68" s="163">
        <f t="shared" si="9"/>
        <v>0</v>
      </c>
      <c r="AC68" s="163">
        <f t="shared" si="9"/>
        <v>0</v>
      </c>
      <c r="AE68" s="51"/>
      <c r="AF68" s="55"/>
      <c r="AG68" s="33">
        <v>3.5</v>
      </c>
      <c r="AH68" s="33">
        <v>0.5</v>
      </c>
      <c r="AI68" s="33">
        <v>3.3</v>
      </c>
      <c r="AJ68" s="193"/>
      <c r="AK68" s="67"/>
      <c r="AL68" s="54"/>
      <c r="AM68" s="54"/>
      <c r="AN68" s="54"/>
      <c r="AP68" s="68"/>
      <c r="AQ68" s="68"/>
      <c r="AS68" s="39" t="b">
        <f t="shared" si="4"/>
        <v>0</v>
      </c>
    </row>
    <row r="69" spans="2:45" s="5" customFormat="1" ht="14.25" customHeight="1" x14ac:dyDescent="0.25">
      <c r="B69" s="158" t="s">
        <v>66</v>
      </c>
      <c r="C69" s="36"/>
      <c r="D69" s="10"/>
      <c r="E69" s="10"/>
      <c r="F69" s="45">
        <f t="shared" si="0"/>
        <v>0</v>
      </c>
      <c r="G69" s="27"/>
      <c r="H69" s="58"/>
      <c r="I69" s="58"/>
      <c r="J69" s="64"/>
      <c r="K69" s="65"/>
      <c r="L69" s="58"/>
      <c r="M69" s="60"/>
      <c r="N69" s="61"/>
      <c r="O69" s="62"/>
      <c r="P69" s="63"/>
      <c r="Q69" s="165">
        <f t="shared" si="8"/>
        <v>0</v>
      </c>
      <c r="R69" s="165">
        <f t="shared" si="8"/>
        <v>0</v>
      </c>
      <c r="S69" s="165">
        <f t="shared" si="8"/>
        <v>0</v>
      </c>
      <c r="U69" s="163">
        <f t="shared" si="14"/>
        <v>0</v>
      </c>
      <c r="V69" s="163">
        <f t="shared" si="14"/>
        <v>0</v>
      </c>
      <c r="W69" s="163">
        <f t="shared" si="14"/>
        <v>0</v>
      </c>
      <c r="X69" s="163">
        <f t="shared" si="15"/>
        <v>0</v>
      </c>
      <c r="Y69" s="163">
        <f t="shared" si="15"/>
        <v>0</v>
      </c>
      <c r="Z69" s="163">
        <f t="shared" si="15"/>
        <v>0</v>
      </c>
      <c r="AA69" s="163">
        <f t="shared" si="9"/>
        <v>0</v>
      </c>
      <c r="AB69" s="163">
        <f t="shared" si="9"/>
        <v>0</v>
      </c>
      <c r="AC69" s="163">
        <f t="shared" si="9"/>
        <v>0</v>
      </c>
      <c r="AE69" s="51"/>
      <c r="AF69" s="55"/>
      <c r="AG69" s="33">
        <v>3.5</v>
      </c>
      <c r="AH69" s="33">
        <v>0.5</v>
      </c>
      <c r="AI69" s="33">
        <v>3.3</v>
      </c>
      <c r="AJ69" s="193"/>
      <c r="AK69" s="67"/>
      <c r="AL69" s="54"/>
      <c r="AM69" s="54"/>
      <c r="AN69" s="54"/>
      <c r="AP69" s="68"/>
      <c r="AQ69" s="68"/>
      <c r="AS69" s="39" t="b">
        <f t="shared" si="4"/>
        <v>0</v>
      </c>
    </row>
    <row r="70" spans="2:45" s="5" customFormat="1" ht="14.25" customHeight="1" x14ac:dyDescent="0.25">
      <c r="B70" s="158" t="s">
        <v>72</v>
      </c>
      <c r="C70" s="36"/>
      <c r="D70" s="10"/>
      <c r="E70" s="10"/>
      <c r="F70" s="45">
        <f t="shared" si="0"/>
        <v>0</v>
      </c>
      <c r="G70" s="27"/>
      <c r="H70" s="58"/>
      <c r="I70" s="58"/>
      <c r="J70" s="64"/>
      <c r="K70" s="65"/>
      <c r="L70" s="58"/>
      <c r="M70" s="60"/>
      <c r="N70" s="61"/>
      <c r="O70" s="62"/>
      <c r="P70" s="63"/>
      <c r="Q70" s="165">
        <f t="shared" si="8"/>
        <v>0</v>
      </c>
      <c r="R70" s="165">
        <f t="shared" si="8"/>
        <v>0</v>
      </c>
      <c r="S70" s="165">
        <f t="shared" si="8"/>
        <v>0</v>
      </c>
      <c r="U70" s="163">
        <f t="shared" si="14"/>
        <v>0</v>
      </c>
      <c r="V70" s="163">
        <f t="shared" si="14"/>
        <v>0</v>
      </c>
      <c r="W70" s="163">
        <f t="shared" si="14"/>
        <v>0</v>
      </c>
      <c r="X70" s="163">
        <f t="shared" si="15"/>
        <v>0</v>
      </c>
      <c r="Y70" s="163">
        <f t="shared" si="15"/>
        <v>0</v>
      </c>
      <c r="Z70" s="163">
        <f t="shared" si="15"/>
        <v>0</v>
      </c>
      <c r="AA70" s="163">
        <f t="shared" si="9"/>
        <v>0</v>
      </c>
      <c r="AB70" s="163">
        <f t="shared" si="9"/>
        <v>0</v>
      </c>
      <c r="AC70" s="163">
        <f t="shared" si="9"/>
        <v>0</v>
      </c>
      <c r="AE70" s="51"/>
      <c r="AF70" s="55"/>
      <c r="AG70" s="33">
        <v>3</v>
      </c>
      <c r="AH70" s="33">
        <v>0.4</v>
      </c>
      <c r="AI70" s="33">
        <v>2.7</v>
      </c>
      <c r="AJ70" s="193"/>
      <c r="AK70" s="67"/>
      <c r="AL70" s="54"/>
      <c r="AM70" s="54"/>
      <c r="AN70" s="54"/>
      <c r="AP70" s="68"/>
      <c r="AQ70" s="68"/>
      <c r="AS70" s="39" t="b">
        <f t="shared" si="4"/>
        <v>0</v>
      </c>
    </row>
    <row r="71" spans="2:45" s="5" customFormat="1" ht="14.25" customHeight="1" x14ac:dyDescent="0.25">
      <c r="B71" s="158" t="s">
        <v>68</v>
      </c>
      <c r="C71" s="36"/>
      <c r="D71" s="10"/>
      <c r="E71" s="10"/>
      <c r="F71" s="45">
        <f t="shared" si="0"/>
        <v>0</v>
      </c>
      <c r="G71" s="27"/>
      <c r="H71" s="58"/>
      <c r="I71" s="58"/>
      <c r="J71" s="64"/>
      <c r="K71" s="65"/>
      <c r="L71" s="58"/>
      <c r="M71" s="60"/>
      <c r="N71" s="61"/>
      <c r="O71" s="62"/>
      <c r="P71" s="63"/>
      <c r="Q71" s="165">
        <f t="shared" si="8"/>
        <v>0</v>
      </c>
      <c r="R71" s="165">
        <f t="shared" si="8"/>
        <v>0</v>
      </c>
      <c r="S71" s="165">
        <f t="shared" si="8"/>
        <v>0</v>
      </c>
      <c r="U71" s="163">
        <f t="shared" si="14"/>
        <v>0</v>
      </c>
      <c r="V71" s="163">
        <f t="shared" si="14"/>
        <v>0</v>
      </c>
      <c r="W71" s="163">
        <f t="shared" si="14"/>
        <v>0</v>
      </c>
      <c r="X71" s="163">
        <f t="shared" si="15"/>
        <v>0</v>
      </c>
      <c r="Y71" s="163">
        <f t="shared" si="15"/>
        <v>0</v>
      </c>
      <c r="Z71" s="163">
        <f t="shared" si="15"/>
        <v>0</v>
      </c>
      <c r="AA71" s="163">
        <f t="shared" si="9"/>
        <v>0</v>
      </c>
      <c r="AB71" s="163">
        <f t="shared" si="9"/>
        <v>0</v>
      </c>
      <c r="AC71" s="163">
        <f t="shared" si="9"/>
        <v>0</v>
      </c>
      <c r="AE71" s="51"/>
      <c r="AF71" s="55"/>
      <c r="AG71" s="33">
        <v>2</v>
      </c>
      <c r="AH71" s="33">
        <v>0.4</v>
      </c>
      <c r="AI71" s="33">
        <v>4.2</v>
      </c>
      <c r="AJ71" s="193"/>
      <c r="AK71" s="67"/>
      <c r="AL71" s="54"/>
      <c r="AM71" s="54"/>
      <c r="AN71" s="54"/>
      <c r="AP71" s="68"/>
      <c r="AQ71" s="68"/>
      <c r="AS71" s="39" t="b">
        <f t="shared" si="4"/>
        <v>0</v>
      </c>
    </row>
    <row r="72" spans="2:45" s="5" customFormat="1" ht="14.25" customHeight="1" x14ac:dyDescent="0.25">
      <c r="B72" s="158" t="s">
        <v>69</v>
      </c>
      <c r="C72" s="36"/>
      <c r="D72" s="10"/>
      <c r="E72" s="10"/>
      <c r="F72" s="45">
        <f t="shared" si="0"/>
        <v>0</v>
      </c>
      <c r="G72" s="27"/>
      <c r="H72" s="58"/>
      <c r="I72" s="58"/>
      <c r="J72" s="64"/>
      <c r="K72" s="65"/>
      <c r="L72" s="58"/>
      <c r="M72" s="60"/>
      <c r="N72" s="61"/>
      <c r="O72" s="62"/>
      <c r="P72" s="63"/>
      <c r="Q72" s="165">
        <f t="shared" si="8"/>
        <v>0</v>
      </c>
      <c r="R72" s="165">
        <f t="shared" si="8"/>
        <v>0</v>
      </c>
      <c r="S72" s="165">
        <f t="shared" si="8"/>
        <v>0</v>
      </c>
      <c r="U72" s="163">
        <f t="shared" ref="U72:W78" si="16">IF($G72=0,$F72*$D72*AG72,$G72*$D72*AG72)</f>
        <v>0</v>
      </c>
      <c r="V72" s="163">
        <f t="shared" si="16"/>
        <v>0</v>
      </c>
      <c r="W72" s="163">
        <f t="shared" si="16"/>
        <v>0</v>
      </c>
      <c r="X72" s="163">
        <f t="shared" ref="X72:Z78" si="17">IF($L72=0,$I72*AL72,$L72*AL72)</f>
        <v>0</v>
      </c>
      <c r="Y72" s="163">
        <f t="shared" si="17"/>
        <v>0</v>
      </c>
      <c r="Z72" s="163">
        <f t="shared" si="17"/>
        <v>0</v>
      </c>
      <c r="AA72" s="163">
        <f t="shared" si="9"/>
        <v>0</v>
      </c>
      <c r="AB72" s="163">
        <f t="shared" si="9"/>
        <v>0</v>
      </c>
      <c r="AC72" s="163">
        <f t="shared" si="9"/>
        <v>0</v>
      </c>
      <c r="AE72" s="51"/>
      <c r="AF72" s="55"/>
      <c r="AG72" s="33">
        <v>1.8</v>
      </c>
      <c r="AH72" s="33">
        <v>0.3</v>
      </c>
      <c r="AI72" s="33">
        <v>2.9</v>
      </c>
      <c r="AJ72" s="193"/>
      <c r="AK72" s="67"/>
      <c r="AL72" s="54"/>
      <c r="AM72" s="54"/>
      <c r="AN72" s="54"/>
      <c r="AP72" s="68"/>
      <c r="AQ72" s="68"/>
      <c r="AS72" s="39" t="b">
        <f t="shared" si="4"/>
        <v>0</v>
      </c>
    </row>
    <row r="73" spans="2:45" s="5" customFormat="1" ht="14.25" customHeight="1" x14ac:dyDescent="0.25">
      <c r="B73" s="158" t="s">
        <v>71</v>
      </c>
      <c r="C73" s="36"/>
      <c r="D73" s="10"/>
      <c r="E73" s="10"/>
      <c r="F73" s="45">
        <f t="shared" si="0"/>
        <v>0</v>
      </c>
      <c r="G73" s="27"/>
      <c r="H73" s="58"/>
      <c r="I73" s="58"/>
      <c r="J73" s="64"/>
      <c r="K73" s="65"/>
      <c r="L73" s="58"/>
      <c r="M73" s="60"/>
      <c r="N73" s="61"/>
      <c r="O73" s="62"/>
      <c r="P73" s="63"/>
      <c r="Q73" s="165">
        <f t="shared" ref="Q73:S78" si="18">IF($D73=0,0,AA73/$D73)</f>
        <v>0</v>
      </c>
      <c r="R73" s="165">
        <f t="shared" si="18"/>
        <v>0</v>
      </c>
      <c r="S73" s="165">
        <f t="shared" si="18"/>
        <v>0</v>
      </c>
      <c r="U73" s="163">
        <f t="shared" si="16"/>
        <v>0</v>
      </c>
      <c r="V73" s="163">
        <f t="shared" si="16"/>
        <v>0</v>
      </c>
      <c r="W73" s="163">
        <f t="shared" si="16"/>
        <v>0</v>
      </c>
      <c r="X73" s="163">
        <f t="shared" si="17"/>
        <v>0</v>
      </c>
      <c r="Y73" s="163">
        <f t="shared" si="17"/>
        <v>0</v>
      </c>
      <c r="Z73" s="163">
        <f t="shared" si="17"/>
        <v>0</v>
      </c>
      <c r="AA73" s="163">
        <f t="shared" si="9"/>
        <v>0</v>
      </c>
      <c r="AB73" s="163">
        <f t="shared" si="9"/>
        <v>0</v>
      </c>
      <c r="AC73" s="163">
        <f t="shared" si="9"/>
        <v>0</v>
      </c>
      <c r="AE73" s="51"/>
      <c r="AF73" s="55"/>
      <c r="AG73" s="33">
        <v>4</v>
      </c>
      <c r="AH73" s="33">
        <v>0.6</v>
      </c>
      <c r="AI73" s="33">
        <v>5.8</v>
      </c>
      <c r="AJ73" s="193"/>
      <c r="AK73" s="67"/>
      <c r="AL73" s="54"/>
      <c r="AM73" s="54"/>
      <c r="AN73" s="54"/>
      <c r="AP73" s="68"/>
      <c r="AQ73" s="68"/>
      <c r="AS73" s="39" t="b">
        <f t="shared" si="4"/>
        <v>0</v>
      </c>
    </row>
    <row r="74" spans="2:45" s="5" customFormat="1" ht="14.25" customHeight="1" x14ac:dyDescent="0.25">
      <c r="B74" s="689" t="s">
        <v>162</v>
      </c>
      <c r="C74" s="35" t="s">
        <v>188</v>
      </c>
      <c r="D74" s="10"/>
      <c r="E74" s="10"/>
      <c r="F74" s="45">
        <f>IF(D74=0,0,E74/D74)</f>
        <v>0</v>
      </c>
      <c r="G74" s="27"/>
      <c r="H74" s="58"/>
      <c r="I74" s="58"/>
      <c r="J74" s="64"/>
      <c r="K74" s="65"/>
      <c r="L74" s="58"/>
      <c r="M74" s="60"/>
      <c r="N74" s="61"/>
      <c r="O74" s="62"/>
      <c r="P74" s="63"/>
      <c r="Q74" s="165">
        <f t="shared" si="18"/>
        <v>0</v>
      </c>
      <c r="R74" s="165">
        <f t="shared" si="18"/>
        <v>0</v>
      </c>
      <c r="S74" s="165">
        <f t="shared" si="18"/>
        <v>0</v>
      </c>
      <c r="U74" s="163">
        <f t="shared" si="16"/>
        <v>0</v>
      </c>
      <c r="V74" s="163">
        <f t="shared" si="16"/>
        <v>0</v>
      </c>
      <c r="W74" s="163">
        <f t="shared" si="16"/>
        <v>0</v>
      </c>
      <c r="X74" s="163">
        <f t="shared" si="17"/>
        <v>0</v>
      </c>
      <c r="Y74" s="163">
        <f t="shared" si="17"/>
        <v>0</v>
      </c>
      <c r="Z74" s="163">
        <f t="shared" si="17"/>
        <v>0</v>
      </c>
      <c r="AA74" s="163">
        <f t="shared" si="9"/>
        <v>0</v>
      </c>
      <c r="AB74" s="163">
        <f t="shared" si="9"/>
        <v>0</v>
      </c>
      <c r="AC74" s="163">
        <f t="shared" si="9"/>
        <v>0</v>
      </c>
      <c r="AE74" s="51" t="s">
        <v>161</v>
      </c>
      <c r="AF74" s="55">
        <v>0.15</v>
      </c>
      <c r="AG74" s="33">
        <v>11</v>
      </c>
      <c r="AH74" s="33">
        <v>1.1000000000000001</v>
      </c>
      <c r="AI74" s="33">
        <v>3.3</v>
      </c>
      <c r="AJ74" s="192"/>
      <c r="AK74" s="67"/>
      <c r="AL74" s="54"/>
      <c r="AM74" s="54"/>
      <c r="AN74" s="54"/>
      <c r="AP74" s="127">
        <v>80</v>
      </c>
      <c r="AQ74" s="57">
        <f>D74*AP74</f>
        <v>0</v>
      </c>
      <c r="AS74" s="39" t="b">
        <f t="shared" ref="AS74:AS78" si="19">AND(H74=0,L74&gt;0)</f>
        <v>0</v>
      </c>
    </row>
    <row r="75" spans="2:45" s="5" customFormat="1" ht="14.25" customHeight="1" x14ac:dyDescent="0.25">
      <c r="B75" s="690"/>
      <c r="C75" s="35" t="s">
        <v>189</v>
      </c>
      <c r="D75" s="10"/>
      <c r="E75" s="10"/>
      <c r="F75" s="45">
        <f>IF(D75=0,0,E75/D75)</f>
        <v>0</v>
      </c>
      <c r="G75" s="27"/>
      <c r="H75" s="58"/>
      <c r="I75" s="58"/>
      <c r="J75" s="64"/>
      <c r="K75" s="65"/>
      <c r="L75" s="58"/>
      <c r="M75" s="60"/>
      <c r="N75" s="61"/>
      <c r="O75" s="62"/>
      <c r="P75" s="63"/>
      <c r="Q75" s="165">
        <f t="shared" si="18"/>
        <v>0</v>
      </c>
      <c r="R75" s="165">
        <f t="shared" si="18"/>
        <v>0</v>
      </c>
      <c r="S75" s="165">
        <f t="shared" si="18"/>
        <v>0</v>
      </c>
      <c r="U75" s="163">
        <f t="shared" si="16"/>
        <v>0</v>
      </c>
      <c r="V75" s="163">
        <f t="shared" si="16"/>
        <v>0</v>
      </c>
      <c r="W75" s="163">
        <f t="shared" si="16"/>
        <v>0</v>
      </c>
      <c r="X75" s="163">
        <f t="shared" si="17"/>
        <v>0</v>
      </c>
      <c r="Y75" s="163">
        <f t="shared" si="17"/>
        <v>0</v>
      </c>
      <c r="Z75" s="163">
        <f t="shared" si="17"/>
        <v>0</v>
      </c>
      <c r="AA75" s="163">
        <f t="shared" ref="AA75:AC80" si="20">U75+X75</f>
        <v>0</v>
      </c>
      <c r="AB75" s="163">
        <f t="shared" si="20"/>
        <v>0</v>
      </c>
      <c r="AC75" s="163">
        <f t="shared" si="20"/>
        <v>0</v>
      </c>
      <c r="AE75" s="51" t="s">
        <v>164</v>
      </c>
      <c r="AF75" s="55">
        <v>0.15</v>
      </c>
      <c r="AG75" s="33">
        <v>5</v>
      </c>
      <c r="AH75" s="33">
        <v>0.7</v>
      </c>
      <c r="AI75" s="33">
        <v>3.3</v>
      </c>
      <c r="AJ75" s="192"/>
      <c r="AK75" s="67"/>
      <c r="AL75" s="54"/>
      <c r="AM75" s="54"/>
      <c r="AN75" s="54"/>
      <c r="AP75" s="127">
        <v>80</v>
      </c>
      <c r="AQ75" s="57">
        <f>D75*AP75</f>
        <v>0</v>
      </c>
      <c r="AS75" s="39" t="b">
        <f t="shared" si="19"/>
        <v>0</v>
      </c>
    </row>
    <row r="76" spans="2:45" s="5" customFormat="1" ht="14.25" customHeight="1" x14ac:dyDescent="0.25">
      <c r="B76" s="158" t="s">
        <v>163</v>
      </c>
      <c r="C76" s="36"/>
      <c r="D76" s="10"/>
      <c r="E76" s="10"/>
      <c r="F76" s="45">
        <f>IF(D76=0,0,E76/D76)</f>
        <v>0</v>
      </c>
      <c r="G76" s="27"/>
      <c r="H76" s="58"/>
      <c r="I76" s="58"/>
      <c r="J76" s="64"/>
      <c r="K76" s="65"/>
      <c r="L76" s="58"/>
      <c r="M76" s="60"/>
      <c r="N76" s="61"/>
      <c r="O76" s="62"/>
      <c r="P76" s="63"/>
      <c r="Q76" s="165">
        <f t="shared" si="18"/>
        <v>0</v>
      </c>
      <c r="R76" s="165">
        <f t="shared" si="18"/>
        <v>0</v>
      </c>
      <c r="S76" s="165">
        <f t="shared" si="18"/>
        <v>0</v>
      </c>
      <c r="U76" s="163">
        <f t="shared" si="16"/>
        <v>0</v>
      </c>
      <c r="V76" s="163">
        <f t="shared" si="16"/>
        <v>0</v>
      </c>
      <c r="W76" s="163">
        <f t="shared" si="16"/>
        <v>0</v>
      </c>
      <c r="X76" s="163">
        <f t="shared" si="17"/>
        <v>0</v>
      </c>
      <c r="Y76" s="163">
        <f t="shared" si="17"/>
        <v>0</v>
      </c>
      <c r="Z76" s="163">
        <f t="shared" si="17"/>
        <v>0</v>
      </c>
      <c r="AA76" s="163">
        <f t="shared" si="20"/>
        <v>0</v>
      </c>
      <c r="AB76" s="163">
        <f t="shared" si="20"/>
        <v>0</v>
      </c>
      <c r="AC76" s="163">
        <f t="shared" si="20"/>
        <v>0</v>
      </c>
      <c r="AE76" s="51" t="s">
        <v>164</v>
      </c>
      <c r="AF76" s="55">
        <v>0.12</v>
      </c>
      <c r="AG76" s="33">
        <v>4</v>
      </c>
      <c r="AH76" s="33">
        <v>0.7</v>
      </c>
      <c r="AI76" s="33">
        <v>2.5</v>
      </c>
      <c r="AJ76" s="192"/>
      <c r="AK76" s="67"/>
      <c r="AL76" s="54"/>
      <c r="AM76" s="54"/>
      <c r="AN76" s="54"/>
      <c r="AP76" s="127">
        <v>80</v>
      </c>
      <c r="AQ76" s="57">
        <f>D76*AP76</f>
        <v>0</v>
      </c>
      <c r="AS76" s="39" t="b">
        <f t="shared" si="19"/>
        <v>0</v>
      </c>
    </row>
    <row r="77" spans="2:45" s="5" customFormat="1" ht="14.25" customHeight="1" x14ac:dyDescent="0.25">
      <c r="B77" s="158" t="s">
        <v>93</v>
      </c>
      <c r="C77" s="36"/>
      <c r="D77" s="10"/>
      <c r="E77" s="10"/>
      <c r="F77" s="45">
        <f>IF(D77=0,0,E77/D77)</f>
        <v>0</v>
      </c>
      <c r="G77" s="27"/>
      <c r="H77" s="58"/>
      <c r="I77" s="58"/>
      <c r="J77" s="64"/>
      <c r="K77" s="65"/>
      <c r="L77" s="58"/>
      <c r="M77" s="60"/>
      <c r="N77" s="61"/>
      <c r="O77" s="62"/>
      <c r="P77" s="69"/>
      <c r="Q77" s="165">
        <f t="shared" si="18"/>
        <v>0</v>
      </c>
      <c r="R77" s="165">
        <f t="shared" si="18"/>
        <v>0</v>
      </c>
      <c r="S77" s="165">
        <f t="shared" si="18"/>
        <v>0</v>
      </c>
      <c r="U77" s="163">
        <f t="shared" si="16"/>
        <v>0</v>
      </c>
      <c r="V77" s="163">
        <f t="shared" si="16"/>
        <v>0</v>
      </c>
      <c r="W77" s="163">
        <f t="shared" si="16"/>
        <v>0</v>
      </c>
      <c r="X77" s="163">
        <f t="shared" si="17"/>
        <v>0</v>
      </c>
      <c r="Y77" s="163">
        <f t="shared" si="17"/>
        <v>0</v>
      </c>
      <c r="Z77" s="163">
        <f t="shared" si="17"/>
        <v>0</v>
      </c>
      <c r="AA77" s="163">
        <f>U77+X77</f>
        <v>0</v>
      </c>
      <c r="AB77" s="163">
        <f>V77+Y77</f>
        <v>0</v>
      </c>
      <c r="AC77" s="163">
        <f>W77+Z77</f>
        <v>0</v>
      </c>
      <c r="AE77" s="70"/>
      <c r="AF77" s="55"/>
      <c r="AG77" s="33">
        <v>2.5</v>
      </c>
      <c r="AH77" s="33">
        <v>0.4</v>
      </c>
      <c r="AI77" s="33">
        <v>4</v>
      </c>
      <c r="AJ77" s="193"/>
      <c r="AK77" s="67"/>
      <c r="AL77" s="54"/>
      <c r="AM77" s="54"/>
      <c r="AN77" s="54"/>
      <c r="AP77" s="68"/>
      <c r="AQ77" s="68"/>
      <c r="AS77" s="39" t="b">
        <f t="shared" si="19"/>
        <v>0</v>
      </c>
    </row>
    <row r="78" spans="2:45" s="5" customFormat="1" ht="14.25" customHeight="1" x14ac:dyDescent="0.25">
      <c r="B78" s="158" t="s">
        <v>254</v>
      </c>
      <c r="C78" s="36"/>
      <c r="D78" s="10"/>
      <c r="E78" s="10"/>
      <c r="F78" s="45">
        <f>IF(D78=0,0,E78/D78)</f>
        <v>0</v>
      </c>
      <c r="G78" s="27"/>
      <c r="H78" s="58"/>
      <c r="I78" s="58"/>
      <c r="J78" s="64"/>
      <c r="K78" s="65"/>
      <c r="L78" s="58"/>
      <c r="M78" s="60"/>
      <c r="N78" s="61"/>
      <c r="O78" s="62"/>
      <c r="P78" s="204"/>
      <c r="Q78" s="165">
        <f t="shared" si="18"/>
        <v>0</v>
      </c>
      <c r="R78" s="165">
        <f t="shared" si="18"/>
        <v>0</v>
      </c>
      <c r="S78" s="165">
        <f t="shared" si="18"/>
        <v>0</v>
      </c>
      <c r="U78" s="163">
        <f t="shared" si="16"/>
        <v>0</v>
      </c>
      <c r="V78" s="163">
        <f t="shared" si="16"/>
        <v>0</v>
      </c>
      <c r="W78" s="163">
        <f t="shared" si="16"/>
        <v>0</v>
      </c>
      <c r="X78" s="163">
        <f t="shared" si="17"/>
        <v>0</v>
      </c>
      <c r="Y78" s="163">
        <f t="shared" si="17"/>
        <v>0</v>
      </c>
      <c r="Z78" s="163">
        <f t="shared" si="17"/>
        <v>0</v>
      </c>
      <c r="AA78" s="163">
        <f t="shared" si="20"/>
        <v>0</v>
      </c>
      <c r="AB78" s="163">
        <f t="shared" si="20"/>
        <v>0</v>
      </c>
      <c r="AC78" s="163">
        <f t="shared" si="20"/>
        <v>0</v>
      </c>
      <c r="AE78" s="70"/>
      <c r="AF78" s="55">
        <v>0.15</v>
      </c>
      <c r="AG78" s="201">
        <v>1.7</v>
      </c>
      <c r="AH78" s="201">
        <v>0.2</v>
      </c>
      <c r="AI78" s="201">
        <v>2.2999999999999998</v>
      </c>
      <c r="AJ78" s="193"/>
      <c r="AK78" s="67"/>
      <c r="AL78" s="54"/>
      <c r="AM78" s="54"/>
      <c r="AN78" s="54"/>
      <c r="AP78" s="68"/>
      <c r="AQ78" s="68"/>
      <c r="AS78" s="203" t="b">
        <f t="shared" si="19"/>
        <v>0</v>
      </c>
    </row>
    <row r="79" spans="2:45" s="5" customFormat="1" ht="14.25" customHeight="1" x14ac:dyDescent="0.25">
      <c r="B79" s="691" t="s">
        <v>233</v>
      </c>
      <c r="C79" s="692"/>
      <c r="D79" s="10"/>
      <c r="E79" s="71"/>
      <c r="F79" s="72"/>
      <c r="G79" s="72"/>
      <c r="H79" s="58"/>
      <c r="I79" s="58"/>
      <c r="J79" s="64"/>
      <c r="K79" s="65"/>
      <c r="L79" s="58"/>
      <c r="M79" s="60"/>
      <c r="N79" s="61"/>
      <c r="O79" s="62"/>
      <c r="P79" s="69"/>
      <c r="Q79" s="76"/>
      <c r="R79" s="76"/>
      <c r="S79" s="76"/>
      <c r="U79" s="76"/>
      <c r="V79" s="76"/>
      <c r="W79" s="76"/>
      <c r="X79" s="76"/>
      <c r="Y79" s="76"/>
      <c r="Z79" s="76"/>
      <c r="AA79" s="68">
        <f t="shared" si="20"/>
        <v>0</v>
      </c>
      <c r="AB79" s="68">
        <f t="shared" si="20"/>
        <v>0</v>
      </c>
      <c r="AC79" s="68">
        <f t="shared" si="20"/>
        <v>0</v>
      </c>
      <c r="AE79" s="73"/>
      <c r="AF79" s="74"/>
      <c r="AG79" s="37"/>
      <c r="AH79" s="37"/>
      <c r="AI79" s="37"/>
      <c r="AJ79" s="193"/>
      <c r="AK79" s="67"/>
      <c r="AL79" s="54"/>
      <c r="AM79" s="54"/>
      <c r="AN79" s="54"/>
      <c r="AP79" s="75"/>
      <c r="AQ79" s="68"/>
      <c r="AS79" s="125"/>
    </row>
    <row r="80" spans="2:45" s="4" customFormat="1" ht="14.25" customHeight="1" thickBot="1" x14ac:dyDescent="0.3">
      <c r="B80" s="695" t="s">
        <v>194</v>
      </c>
      <c r="C80" s="696"/>
      <c r="D80" s="77">
        <f>(SUM(D10:D79))-D57-D62</f>
        <v>0</v>
      </c>
      <c r="E80" s="78"/>
      <c r="F80" s="79"/>
      <c r="G80" s="79"/>
      <c r="H80" s="77">
        <f>(SUM(H10:H78))</f>
        <v>0</v>
      </c>
      <c r="I80" s="77"/>
      <c r="J80" s="80"/>
      <c r="K80" s="81"/>
      <c r="L80" s="77"/>
      <c r="M80" s="47"/>
      <c r="N80" s="178" t="s">
        <v>427</v>
      </c>
      <c r="O80" s="177">
        <f>SUM(O10:O78)-O29-O30-O31</f>
        <v>0</v>
      </c>
      <c r="P80" s="82"/>
      <c r="Q80" s="171">
        <f>IF($D$3=0,0,AA80/$D$3)</f>
        <v>0</v>
      </c>
      <c r="R80" s="171">
        <f>IF($D$3=0,0,AB80/$D$3)</f>
        <v>0</v>
      </c>
      <c r="S80" s="171">
        <f>IF($D$3=0,0,AC80/$D$3)</f>
        <v>0</v>
      </c>
      <c r="U80" s="166">
        <f t="shared" ref="U80:Z80" si="21">SUM(U10:U78)</f>
        <v>0</v>
      </c>
      <c r="V80" s="166">
        <f t="shared" si="21"/>
        <v>0</v>
      </c>
      <c r="W80" s="166">
        <f t="shared" si="21"/>
        <v>0</v>
      </c>
      <c r="X80" s="166">
        <f t="shared" si="21"/>
        <v>0</v>
      </c>
      <c r="Y80" s="166">
        <f t="shared" si="21"/>
        <v>0</v>
      </c>
      <c r="Z80" s="166">
        <f t="shared" si="21"/>
        <v>0</v>
      </c>
      <c r="AA80" s="167">
        <f t="shared" si="20"/>
        <v>0</v>
      </c>
      <c r="AB80" s="167">
        <f t="shared" si="20"/>
        <v>0</v>
      </c>
      <c r="AC80" s="167">
        <f t="shared" si="20"/>
        <v>0</v>
      </c>
      <c r="AE80" s="83"/>
      <c r="AF80" s="83"/>
      <c r="AG80" s="83"/>
      <c r="AH80" s="83"/>
      <c r="AI80" s="83"/>
      <c r="AJ80" s="194"/>
      <c r="AK80" s="84"/>
      <c r="AL80" s="84"/>
      <c r="AM80" s="84"/>
      <c r="AN80" s="84"/>
      <c r="AP80" s="168"/>
      <c r="AQ80" s="169">
        <f>SUM(AQ10:AQ79)</f>
        <v>0</v>
      </c>
      <c r="AS80" s="126"/>
    </row>
    <row r="81" spans="2:43" ht="15.75" thickBot="1" x14ac:dyDescent="0.3">
      <c r="B81" s="693" t="s">
        <v>207</v>
      </c>
      <c r="C81" s="694"/>
      <c r="D81" s="97">
        <f>D80-D3+0.000000000001</f>
        <v>9.9999999999999998E-13</v>
      </c>
      <c r="M81" s="181"/>
      <c r="N81" s="182" t="s">
        <v>428</v>
      </c>
      <c r="O81" s="183">
        <f>O29+O30</f>
        <v>0</v>
      </c>
      <c r="AF81" s="38"/>
      <c r="AQ81" s="85">
        <f>IF($D$3=0,0,AQ80/$D$3)</f>
        <v>0</v>
      </c>
    </row>
    <row r="83" spans="2:43" x14ac:dyDescent="0.25">
      <c r="B83" s="722" t="str">
        <f>'P24'!B83</f>
        <v>Verze 4 (18. 9. 2025, www.carc.cz), kontakty: Ing. Jan Klír, CSc. (603 520 684; jan.klir@carc.cz), Ing. Lada Kozlovská (733 375 632; lada.kozlovska@carc.cz)</v>
      </c>
      <c r="C83" s="722"/>
      <c r="D83" s="722"/>
      <c r="E83" s="722"/>
      <c r="F83" s="722"/>
      <c r="G83" s="722"/>
      <c r="H83" s="722"/>
      <c r="I83" s="5"/>
    </row>
    <row r="84" spans="2:43" x14ac:dyDescent="0.25">
      <c r="F84" s="86"/>
      <c r="G84" s="86"/>
      <c r="AJ84" s="196"/>
    </row>
    <row r="87" spans="2:43" x14ac:dyDescent="0.25">
      <c r="B87" t="s">
        <v>524</v>
      </c>
    </row>
    <row r="88" spans="2:43" ht="14.25" customHeight="1" x14ac:dyDescent="0.25">
      <c r="B88" s="747" t="s">
        <v>418</v>
      </c>
      <c r="C88" s="747"/>
      <c r="D88" s="179">
        <f>D27+D28+D29+D30+D63+D71+D72+D70</f>
        <v>0</v>
      </c>
    </row>
    <row r="89" spans="2:43" ht="14.25" customHeight="1" x14ac:dyDescent="0.25">
      <c r="B89" s="747" t="s">
        <v>419</v>
      </c>
      <c r="C89" s="747"/>
      <c r="D89" s="179">
        <f>D19+D42+D69+D64</f>
        <v>0</v>
      </c>
    </row>
    <row r="90" spans="2:43" ht="14.25" customHeight="1" x14ac:dyDescent="0.25">
      <c r="B90" s="747" t="s">
        <v>292</v>
      </c>
      <c r="C90" s="747"/>
      <c r="D90" s="179">
        <f>D54+D55</f>
        <v>0</v>
      </c>
    </row>
    <row r="91" spans="2:43" ht="14.25" customHeight="1" x14ac:dyDescent="0.25">
      <c r="B91" s="747" t="s">
        <v>424</v>
      </c>
      <c r="C91" s="747"/>
      <c r="D91" s="179">
        <f>D56+D58+D59+D60+D61</f>
        <v>0</v>
      </c>
    </row>
  </sheetData>
  <sheetProtection algorithmName="SHA-512" hashValue="38RGcxhZnInai+3Ak4NjL3eiWXQAu3HG6K9h/G8VxLb7c36f2OfnP/u52Wr5lQ/7s42NrSxE92fp5wRsGxDJkw==" saltValue="VuynzhMeketPnfUrC8KRog==" spinCount="100000" sheet="1" formatCells="0" formatColumns="0" formatRows="0" selectLockedCells="1"/>
  <mergeCells count="56">
    <mergeCell ref="B89:C89"/>
    <mergeCell ref="B90:C90"/>
    <mergeCell ref="B91:C91"/>
    <mergeCell ref="B74:B75"/>
    <mergeCell ref="B79:C79"/>
    <mergeCell ref="B80:C80"/>
    <mergeCell ref="B81:C81"/>
    <mergeCell ref="B83:H83"/>
    <mergeCell ref="B88:C88"/>
    <mergeCell ref="AJ8:AJ9"/>
    <mergeCell ref="AK8:AK9"/>
    <mergeCell ref="B9:C9"/>
    <mergeCell ref="J9:K9"/>
    <mergeCell ref="M9:N9"/>
    <mergeCell ref="AA8:AC8"/>
    <mergeCell ref="AE8:AE9"/>
    <mergeCell ref="B27:B28"/>
    <mergeCell ref="AF8:AF9"/>
    <mergeCell ref="AG8:AI8"/>
    <mergeCell ref="B10:B11"/>
    <mergeCell ref="B15:B16"/>
    <mergeCell ref="O8:O9"/>
    <mergeCell ref="P8:P9"/>
    <mergeCell ref="Q8:S8"/>
    <mergeCell ref="U8:W8"/>
    <mergeCell ref="X8:Z8"/>
    <mergeCell ref="AE6:AI6"/>
    <mergeCell ref="AJ6:AN6"/>
    <mergeCell ref="AP6:AQ6"/>
    <mergeCell ref="B7:D8"/>
    <mergeCell ref="E7:G7"/>
    <mergeCell ref="H7:P7"/>
    <mergeCell ref="Q7:S7"/>
    <mergeCell ref="U7:AC7"/>
    <mergeCell ref="AE7:AI7"/>
    <mergeCell ref="AJ7:AN7"/>
    <mergeCell ref="AA6:AC6"/>
    <mergeCell ref="AL8:AN8"/>
    <mergeCell ref="AP8:AQ8"/>
    <mergeCell ref="AP7:AQ7"/>
    <mergeCell ref="E8:G8"/>
    <mergeCell ref="H8:N8"/>
    <mergeCell ref="B4:D4"/>
    <mergeCell ref="B5:C5"/>
    <mergeCell ref="B6:D6"/>
    <mergeCell ref="U6:W6"/>
    <mergeCell ref="X6:Z6"/>
    <mergeCell ref="G3:M3"/>
    <mergeCell ref="N3:O3"/>
    <mergeCell ref="P3:Q3"/>
    <mergeCell ref="B3:C3"/>
    <mergeCell ref="B1:D2"/>
    <mergeCell ref="F1:G1"/>
    <mergeCell ref="G2:M2"/>
    <mergeCell ref="N2:O2"/>
    <mergeCell ref="P2:Q2"/>
  </mergeCells>
  <conditionalFormatting sqref="O10:O26 D81">
    <cfRule type="cellIs" dxfId="121" priority="4" stopIfTrue="1" operator="lessThan">
      <formula>0</formula>
    </cfRule>
  </conditionalFormatting>
  <conditionalFormatting sqref="O29:O40">
    <cfRule type="cellIs" dxfId="120" priority="8" stopIfTrue="1" operator="lessThan">
      <formula>0</formula>
    </cfRule>
  </conditionalFormatting>
  <conditionalFormatting sqref="O57 O62">
    <cfRule type="cellIs" dxfId="119" priority="6" stopIfTrue="1" operator="lessThan">
      <formula>0</formula>
    </cfRule>
  </conditionalFormatting>
  <conditionalFormatting sqref="P10:P26 T10:AD26 Q10:S78">
    <cfRule type="cellIs" dxfId="118" priority="3" stopIfTrue="1" operator="equal">
      <formula>"!"</formula>
    </cfRule>
  </conditionalFormatting>
  <conditionalFormatting sqref="P29:P40">
    <cfRule type="cellIs" dxfId="117" priority="7" stopIfTrue="1" operator="equal">
      <formula>"!"</formula>
    </cfRule>
  </conditionalFormatting>
  <conditionalFormatting sqref="P57 T57:AD57 P62 T62:AD62">
    <cfRule type="cellIs" dxfId="116" priority="5" stopIfTrue="1" operator="equal">
      <formula>"!"</formula>
    </cfRule>
  </conditionalFormatting>
  <conditionalFormatting sqref="Q80:S80">
    <cfRule type="cellIs" dxfId="115" priority="1" stopIfTrue="1" operator="equal">
      <formula>"!"</formula>
    </cfRule>
  </conditionalFormatting>
  <conditionalFormatting sqref="T29:AD40">
    <cfRule type="cellIs" dxfId="114" priority="2" stopIfTrue="1" operator="equal">
      <formula>"!"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91EFC5-1458-4A58-8F02-6ED9FC2F4402}">
  <sheetPr>
    <tabColor theme="7" tint="0.59999389629810485"/>
  </sheetPr>
  <dimension ref="B1:X98"/>
  <sheetViews>
    <sheetView showGridLines="0" showZeros="0" zoomScale="90" zoomScaleNormal="90" workbookViewId="0">
      <pane xSplit="3" ySplit="9" topLeftCell="D10" activePane="bottomRight" state="frozen"/>
      <selection pane="topRight" activeCell="C1" sqref="C1"/>
      <selection pane="bottomLeft" activeCell="A10" sqref="A10"/>
      <selection pane="bottomRight" activeCell="E10" sqref="E10"/>
    </sheetView>
  </sheetViews>
  <sheetFormatPr defaultColWidth="5.7109375" defaultRowHeight="15" x14ac:dyDescent="0.25"/>
  <cols>
    <col min="1" max="1" width="0.5703125" customWidth="1"/>
    <col min="2" max="2" width="44.7109375" customWidth="1"/>
    <col min="3" max="3" width="29.140625" customWidth="1"/>
    <col min="4" max="4" width="16" customWidth="1"/>
    <col min="5" max="5" width="16.7109375" style="2" customWidth="1"/>
    <col min="6" max="6" width="12.7109375" style="2" customWidth="1"/>
    <col min="7" max="7" width="15.5703125" style="2" customWidth="1"/>
    <col min="8" max="8" width="12.7109375" style="2" customWidth="1"/>
    <col min="9" max="9" width="26.42578125" style="2" customWidth="1"/>
    <col min="10" max="11" width="2.7109375" style="2" customWidth="1"/>
    <col min="12" max="12" width="71.5703125" style="2" customWidth="1"/>
    <col min="13" max="13" width="64" style="2" customWidth="1"/>
    <col min="14" max="14" width="17.42578125" style="99" customWidth="1"/>
    <col min="15" max="15" width="7.7109375" customWidth="1"/>
    <col min="16" max="18" width="8.85546875" customWidth="1"/>
    <col min="19" max="19" width="5.7109375" customWidth="1"/>
    <col min="20" max="20" width="8.28515625" hidden="1" customWidth="1"/>
    <col min="21" max="21" width="0" hidden="1" customWidth="1"/>
  </cols>
  <sheetData>
    <row r="1" spans="2:24" ht="5.25" customHeight="1" x14ac:dyDescent="0.25">
      <c r="B1" s="777" t="s">
        <v>460</v>
      </c>
      <c r="C1" s="232"/>
      <c r="D1" s="232"/>
      <c r="E1" s="237"/>
      <c r="F1" s="237"/>
      <c r="G1" s="237"/>
      <c r="H1" s="237"/>
      <c r="I1" s="237"/>
      <c r="J1" s="237"/>
      <c r="K1" s="237"/>
      <c r="S1" s="11"/>
      <c r="V1" s="11"/>
      <c r="W1" s="11"/>
      <c r="X1" s="11"/>
    </row>
    <row r="2" spans="2:24" s="3" customFormat="1" ht="20.25" customHeight="1" x14ac:dyDescent="0.25">
      <c r="B2" s="777"/>
      <c r="C2" s="229" t="s">
        <v>239</v>
      </c>
      <c r="D2" s="756" t="str">
        <f>IF('P24'!G2=0,"",'P24'!G2)</f>
        <v/>
      </c>
      <c r="E2" s="756"/>
      <c r="F2" s="756"/>
      <c r="G2" s="756"/>
      <c r="H2" s="756"/>
      <c r="I2" s="756"/>
      <c r="J2" s="238"/>
      <c r="K2" s="238"/>
      <c r="L2" s="128"/>
      <c r="M2" s="128"/>
      <c r="N2" s="184"/>
      <c r="O2" s="129"/>
      <c r="S2" s="130"/>
      <c r="V2" s="130"/>
      <c r="W2" s="130"/>
      <c r="X2" s="130"/>
    </row>
    <row r="3" spans="2:24" s="1" customFormat="1" ht="20.25" customHeight="1" x14ac:dyDescent="0.25">
      <c r="B3" s="778" t="s">
        <v>518</v>
      </c>
      <c r="C3" s="229" t="s">
        <v>448</v>
      </c>
      <c r="D3" s="756" t="str">
        <f>IF('P24'!G3=0,"",'P24'!G3)</f>
        <v/>
      </c>
      <c r="E3" s="756"/>
      <c r="F3" s="756"/>
      <c r="G3" s="756"/>
      <c r="H3" s="756"/>
      <c r="I3" s="756"/>
      <c r="J3" s="234"/>
      <c r="K3" s="234"/>
      <c r="L3" s="131"/>
      <c r="M3" s="131"/>
      <c r="N3" s="180"/>
      <c r="S3" s="19"/>
      <c r="T3" s="132"/>
      <c r="V3" s="19"/>
      <c r="W3" s="19"/>
      <c r="X3" s="19"/>
    </row>
    <row r="4" spans="2:24" s="1" customFormat="1" ht="20.25" customHeight="1" x14ac:dyDescent="0.25">
      <c r="B4" s="778"/>
      <c r="C4" s="229" t="s">
        <v>240</v>
      </c>
      <c r="D4" s="292">
        <f>'P25'!G5</f>
        <v>2025</v>
      </c>
      <c r="E4" s="234"/>
      <c r="F4" s="234"/>
      <c r="G4" s="234"/>
      <c r="H4" s="234"/>
      <c r="I4" s="234"/>
      <c r="J4" s="234"/>
      <c r="K4" s="234"/>
      <c r="L4" s="131"/>
      <c r="M4" s="131"/>
      <c r="N4" s="180"/>
      <c r="O4" s="133"/>
      <c r="P4" s="29"/>
      <c r="Q4" s="29"/>
      <c r="R4" s="29"/>
      <c r="S4" s="19"/>
      <c r="T4" s="132"/>
      <c r="V4" s="19"/>
      <c r="W4" s="19"/>
      <c r="X4" s="19"/>
    </row>
    <row r="5" spans="2:24" s="1" customFormat="1" ht="3" customHeight="1" x14ac:dyDescent="0.25">
      <c r="B5" s="778"/>
      <c r="C5" s="229"/>
      <c r="D5" s="236"/>
      <c r="E5" s="234"/>
      <c r="F5" s="234"/>
      <c r="G5" s="234"/>
      <c r="H5" s="234"/>
      <c r="I5" s="234"/>
      <c r="J5" s="234"/>
      <c r="K5" s="234"/>
      <c r="L5" s="131"/>
      <c r="M5" s="131"/>
      <c r="N5" s="180"/>
      <c r="O5" s="133"/>
      <c r="P5" s="29"/>
      <c r="Q5" s="29"/>
      <c r="R5" s="29"/>
      <c r="S5" s="19"/>
      <c r="T5" s="132"/>
      <c r="V5" s="19"/>
      <c r="W5" s="19"/>
      <c r="X5" s="19"/>
    </row>
    <row r="6" spans="2:24" s="1" customFormat="1" ht="3" customHeight="1" x14ac:dyDescent="0.25">
      <c r="B6" s="779"/>
      <c r="C6" s="233"/>
      <c r="D6" s="235"/>
      <c r="E6" s="234"/>
      <c r="F6" s="234"/>
      <c r="G6" s="234"/>
      <c r="H6" s="234"/>
      <c r="I6" s="234"/>
      <c r="J6" s="234"/>
      <c r="K6" s="234"/>
      <c r="L6" s="131"/>
      <c r="M6" s="131"/>
      <c r="N6" s="180"/>
      <c r="O6" s="133"/>
      <c r="P6" s="29"/>
      <c r="Q6" s="29"/>
      <c r="R6" s="29"/>
      <c r="S6" s="19"/>
      <c r="T6" s="132"/>
      <c r="V6" s="19"/>
      <c r="W6" s="19"/>
      <c r="X6" s="19"/>
    </row>
    <row r="7" spans="2:24" ht="15" customHeight="1" x14ac:dyDescent="0.25">
      <c r="B7" s="766" t="s">
        <v>241</v>
      </c>
      <c r="C7" s="767"/>
      <c r="D7" s="768"/>
      <c r="E7" s="769" t="s">
        <v>242</v>
      </c>
      <c r="F7" s="770"/>
      <c r="G7" s="770"/>
      <c r="H7" s="770"/>
      <c r="I7" s="771"/>
      <c r="J7" s="753" t="s">
        <v>243</v>
      </c>
      <c r="K7" s="753" t="s">
        <v>244</v>
      </c>
      <c r="L7" s="134"/>
      <c r="M7" s="134"/>
      <c r="N7" s="757" t="s">
        <v>150</v>
      </c>
      <c r="O7" s="757"/>
      <c r="P7" s="757"/>
      <c r="Q7" s="757"/>
      <c r="R7" s="757"/>
      <c r="S7" s="11"/>
      <c r="T7" s="132"/>
      <c r="V7" s="11"/>
      <c r="W7" s="11"/>
      <c r="X7" s="11"/>
    </row>
    <row r="8" spans="2:24" ht="15" customHeight="1" x14ac:dyDescent="0.25">
      <c r="B8" s="758" t="s">
        <v>245</v>
      </c>
      <c r="C8" s="758"/>
      <c r="D8" s="210">
        <f>SUM(D63:D77)</f>
        <v>0</v>
      </c>
      <c r="E8" s="772"/>
      <c r="F8" s="773"/>
      <c r="G8" s="773"/>
      <c r="H8" s="773"/>
      <c r="I8" s="774"/>
      <c r="J8" s="754"/>
      <c r="K8" s="754"/>
      <c r="L8" s="134"/>
      <c r="M8" s="134"/>
      <c r="N8" s="759" t="s">
        <v>130</v>
      </c>
      <c r="O8" s="761" t="s">
        <v>60</v>
      </c>
      <c r="P8" s="763" t="s">
        <v>246</v>
      </c>
      <c r="Q8" s="764"/>
      <c r="R8" s="765"/>
      <c r="S8" s="11"/>
      <c r="T8" s="132"/>
      <c r="V8" s="11"/>
      <c r="W8" s="11"/>
      <c r="X8" s="11"/>
    </row>
    <row r="9" spans="2:24" s="1" customFormat="1" ht="52.5" customHeight="1" x14ac:dyDescent="0.25">
      <c r="B9" s="698" t="s">
        <v>259</v>
      </c>
      <c r="C9" s="699"/>
      <c r="D9" s="135" t="s">
        <v>275</v>
      </c>
      <c r="E9" s="136" t="s">
        <v>247</v>
      </c>
      <c r="F9" s="137" t="s">
        <v>248</v>
      </c>
      <c r="G9" s="137" t="s">
        <v>249</v>
      </c>
      <c r="H9" s="137" t="s">
        <v>250</v>
      </c>
      <c r="I9" s="137" t="s">
        <v>251</v>
      </c>
      <c r="J9" s="755"/>
      <c r="K9" s="755"/>
      <c r="L9" s="134"/>
      <c r="M9" s="134"/>
      <c r="N9" s="760"/>
      <c r="O9" s="762"/>
      <c r="P9" s="30" t="s">
        <v>0</v>
      </c>
      <c r="Q9" s="30" t="s">
        <v>449</v>
      </c>
      <c r="R9" s="30" t="s">
        <v>450</v>
      </c>
      <c r="S9" s="19"/>
      <c r="T9" s="29" t="s">
        <v>143</v>
      </c>
      <c r="U9" s="29" t="s">
        <v>252</v>
      </c>
      <c r="V9" s="19"/>
      <c r="W9" s="19"/>
      <c r="X9" s="19"/>
    </row>
    <row r="10" spans="2:24" s="5" customFormat="1" ht="14.25" customHeight="1" x14ac:dyDescent="0.25">
      <c r="B10" s="689" t="s">
        <v>433</v>
      </c>
      <c r="C10" s="31" t="s">
        <v>180</v>
      </c>
      <c r="D10" s="205">
        <f>'P25'!D10</f>
        <v>0</v>
      </c>
      <c r="E10" s="27"/>
      <c r="F10" s="674"/>
      <c r="G10" s="674"/>
      <c r="H10" s="206">
        <f>IF(F10=0,0,IF(E10=0,0,IF((E10-G10)/E10&lt;0,0,(E10-G10)/E10)))</f>
        <v>0</v>
      </c>
      <c r="I10" s="207">
        <f>IF(E10=0,0,IF((E10-G10)/E10&lt;0.3,0,(E10-G10)*F10*P10/1000))</f>
        <v>0</v>
      </c>
      <c r="J10" s="138" t="str">
        <f t="shared" ref="J10:J40" si="0">IF(T10&lt;0,"!","")</f>
        <v/>
      </c>
      <c r="K10" s="138" t="str">
        <f t="shared" ref="K10:K40" si="1">IF(U10&lt;0,"!","")</f>
        <v/>
      </c>
      <c r="N10" s="51" t="str">
        <f>IF('P25'!AE10=0,"",'P25'!AE10)</f>
        <v>zrno</v>
      </c>
      <c r="O10" s="32">
        <f>IF('P25'!AF10=0,0,'P25'!AF10)</f>
        <v>0.86</v>
      </c>
      <c r="P10" s="201">
        <f>IF('P25'!AG10=0,0,'P25'!AG10)</f>
        <v>20.399999999999999</v>
      </c>
      <c r="Q10" s="201">
        <f>IF('P25'!AH10=0,0,'P25'!AH10)</f>
        <v>2.9</v>
      </c>
      <c r="R10" s="201">
        <f>IF('P25'!AI10=0,0,'P25'!AI10)</f>
        <v>3.5</v>
      </c>
      <c r="S10" s="141"/>
      <c r="T10" s="139">
        <f t="shared" ref="T10:T40" si="2">D10-F10</f>
        <v>0</v>
      </c>
      <c r="U10" s="140">
        <f>E10-G10</f>
        <v>0</v>
      </c>
      <c r="V10" s="141"/>
      <c r="W10" s="141"/>
      <c r="X10" s="141"/>
    </row>
    <row r="11" spans="2:24" s="5" customFormat="1" ht="14.25" customHeight="1" x14ac:dyDescent="0.25">
      <c r="B11" s="690"/>
      <c r="C11" s="31" t="s">
        <v>181</v>
      </c>
      <c r="D11" s="205">
        <f>'P25'!D11</f>
        <v>0</v>
      </c>
      <c r="E11" s="27"/>
      <c r="F11" s="674"/>
      <c r="G11" s="674"/>
      <c r="H11" s="206">
        <f>IF(F11=0,0,IF(E11=0,0,IF((E11-G11)/E11&lt;0,0,(E11-G11)/E11)))</f>
        <v>0</v>
      </c>
      <c r="I11" s="207">
        <f>IF(E11=0,0,IF((E11-G11)/E11&lt;0.3,0,(E11-G11)*F11*P11/1000))</f>
        <v>0</v>
      </c>
      <c r="J11" s="138" t="str">
        <f t="shared" si="0"/>
        <v/>
      </c>
      <c r="K11" s="138" t="str">
        <f t="shared" si="1"/>
        <v/>
      </c>
      <c r="N11" s="51" t="str">
        <f>IF('P25'!AE11=0,"",'P25'!AE11)</f>
        <v>zrno</v>
      </c>
      <c r="O11" s="32">
        <f>IF('P25'!AF11=0,0,'P25'!AF11)</f>
        <v>0.86</v>
      </c>
      <c r="P11" s="201">
        <f>IF('P25'!AG11=0,0,'P25'!AG11)</f>
        <v>17.8</v>
      </c>
      <c r="Q11" s="201">
        <f>IF('P25'!AH11=0,0,'P25'!AH11)</f>
        <v>2.9</v>
      </c>
      <c r="R11" s="201">
        <f>IF('P25'!AI11=0,0,'P25'!AI11)</f>
        <v>3.5</v>
      </c>
      <c r="S11" s="141"/>
      <c r="T11" s="139">
        <f t="shared" si="2"/>
        <v>0</v>
      </c>
      <c r="U11" s="140">
        <f>E11-G11</f>
        <v>0</v>
      </c>
      <c r="V11" s="141"/>
      <c r="W11" s="141"/>
      <c r="X11" s="141"/>
    </row>
    <row r="12" spans="2:24" s="5" customFormat="1" ht="14.25" customHeight="1" x14ac:dyDescent="0.25">
      <c r="B12" s="158" t="s">
        <v>434</v>
      </c>
      <c r="C12" s="34"/>
      <c r="D12" s="205">
        <f>'P25'!D12</f>
        <v>0</v>
      </c>
      <c r="E12" s="675"/>
      <c r="F12" s="676"/>
      <c r="G12" s="676"/>
      <c r="H12" s="206">
        <f t="shared" ref="H12:H74" si="3">IF(F12=0,0,IF(E12=0,0,IF((E12-G12)/E12&lt;0,0,(E12-G12)/E12)))</f>
        <v>0</v>
      </c>
      <c r="I12" s="207">
        <f t="shared" ref="I12:I40" si="4">IF(E12=0,0,IF((E12-G12)/E12&lt;0.3,0,(E12-G12)*F12*P12/1000))</f>
        <v>0</v>
      </c>
      <c r="J12" s="138" t="str">
        <f t="shared" si="0"/>
        <v/>
      </c>
      <c r="K12" s="138" t="str">
        <f t="shared" si="1"/>
        <v/>
      </c>
      <c r="N12" s="51" t="str">
        <f>IF('P25'!AE12=0,"",'P25'!AE12)</f>
        <v>zrno</v>
      </c>
      <c r="O12" s="32">
        <f>IF('P25'!AF12=0,0,'P25'!AF12)</f>
        <v>0.86</v>
      </c>
      <c r="P12" s="201">
        <f>IF('P25'!AG12=0,0,'P25'!AG12)</f>
        <v>18.100000000000001</v>
      </c>
      <c r="Q12" s="201">
        <f>IF('P25'!AH12=0,0,'P25'!AH12)</f>
        <v>3</v>
      </c>
      <c r="R12" s="201">
        <f>IF('P25'!AI12=0,0,'P25'!AI12)</f>
        <v>3.7</v>
      </c>
      <c r="S12" s="141"/>
      <c r="T12" s="139">
        <f t="shared" si="2"/>
        <v>0</v>
      </c>
      <c r="U12" s="140">
        <f t="shared" ref="U12:U40" si="5">E12-G12</f>
        <v>0</v>
      </c>
      <c r="V12" s="141"/>
      <c r="W12" s="141"/>
      <c r="X12" s="141"/>
    </row>
    <row r="13" spans="2:24" s="5" customFormat="1" ht="14.25" customHeight="1" x14ac:dyDescent="0.25">
      <c r="B13" s="158" t="s">
        <v>87</v>
      </c>
      <c r="C13" s="34"/>
      <c r="D13" s="205">
        <f>'P25'!D13</f>
        <v>0</v>
      </c>
      <c r="E13" s="675"/>
      <c r="F13" s="676"/>
      <c r="G13" s="676"/>
      <c r="H13" s="206">
        <f t="shared" si="3"/>
        <v>0</v>
      </c>
      <c r="I13" s="207">
        <f t="shared" si="4"/>
        <v>0</v>
      </c>
      <c r="J13" s="138" t="str">
        <f t="shared" si="0"/>
        <v/>
      </c>
      <c r="K13" s="138" t="str">
        <f t="shared" si="1"/>
        <v/>
      </c>
      <c r="N13" s="51" t="str">
        <f>IF('P25'!AE13=0,"",'P25'!AE13)</f>
        <v>zrno</v>
      </c>
      <c r="O13" s="32">
        <f>IF('P25'!AF13=0,0,'P25'!AF13)</f>
        <v>0.86</v>
      </c>
      <c r="P13" s="201">
        <f>IF('P25'!AG13=0,0,'P25'!AG13)</f>
        <v>16.2</v>
      </c>
      <c r="Q13" s="201">
        <f>IF('P25'!AH13=0,0,'P25'!AH13)</f>
        <v>3.5</v>
      </c>
      <c r="R13" s="201">
        <f>IF('P25'!AI13=0,0,'P25'!AI13)</f>
        <v>5.0999999999999996</v>
      </c>
      <c r="S13" s="141"/>
      <c r="T13" s="139">
        <f t="shared" si="2"/>
        <v>0</v>
      </c>
      <c r="U13" s="140">
        <f t="shared" si="5"/>
        <v>0</v>
      </c>
      <c r="V13" s="141"/>
      <c r="W13" s="141"/>
      <c r="X13" s="141"/>
    </row>
    <row r="14" spans="2:24" s="5" customFormat="1" ht="14.25" customHeight="1" x14ac:dyDescent="0.25">
      <c r="B14" s="158" t="s">
        <v>80</v>
      </c>
      <c r="C14" s="34"/>
      <c r="D14" s="205">
        <f>'P25'!D14</f>
        <v>0</v>
      </c>
      <c r="E14" s="675"/>
      <c r="F14" s="676"/>
      <c r="G14" s="676"/>
      <c r="H14" s="206">
        <f t="shared" si="3"/>
        <v>0</v>
      </c>
      <c r="I14" s="207">
        <f t="shared" si="4"/>
        <v>0</v>
      </c>
      <c r="J14" s="138" t="str">
        <f t="shared" si="0"/>
        <v/>
      </c>
      <c r="K14" s="138" t="str">
        <f t="shared" si="1"/>
        <v/>
      </c>
      <c r="N14" s="51" t="str">
        <f>IF('P25'!AE14=0,"",'P25'!AE14)</f>
        <v>zrno</v>
      </c>
      <c r="O14" s="32">
        <f>IF('P25'!AF14=0,0,'P25'!AF14)</f>
        <v>0.86</v>
      </c>
      <c r="P14" s="201">
        <f>IF('P25'!AG14=0,0,'P25'!AG14)</f>
        <v>17.2</v>
      </c>
      <c r="Q14" s="201">
        <f>IF('P25'!AH14=0,0,'P25'!AH14)</f>
        <v>3.4</v>
      </c>
      <c r="R14" s="201">
        <f>IF('P25'!AI14=0,0,'P25'!AI14)</f>
        <v>5.0999999999999996</v>
      </c>
      <c r="S14" s="141"/>
      <c r="T14" s="139">
        <f t="shared" si="2"/>
        <v>0</v>
      </c>
      <c r="U14" s="140">
        <f t="shared" si="5"/>
        <v>0</v>
      </c>
      <c r="V14" s="141"/>
      <c r="W14" s="141"/>
      <c r="X14" s="141"/>
    </row>
    <row r="15" spans="2:24" s="5" customFormat="1" ht="14.25" customHeight="1" x14ac:dyDescent="0.25">
      <c r="B15" s="689" t="s">
        <v>183</v>
      </c>
      <c r="C15" s="31" t="s">
        <v>178</v>
      </c>
      <c r="D15" s="205">
        <f>'P25'!D15</f>
        <v>0</v>
      </c>
      <c r="E15" s="675"/>
      <c r="F15" s="676"/>
      <c r="G15" s="676"/>
      <c r="H15" s="206">
        <f t="shared" si="3"/>
        <v>0</v>
      </c>
      <c r="I15" s="207">
        <f t="shared" si="4"/>
        <v>0</v>
      </c>
      <c r="J15" s="138" t="str">
        <f t="shared" si="0"/>
        <v/>
      </c>
      <c r="K15" s="138" t="str">
        <f t="shared" si="1"/>
        <v/>
      </c>
      <c r="N15" s="51" t="str">
        <f>IF('P25'!AE15=0,"",'P25'!AE15)</f>
        <v>zrno</v>
      </c>
      <c r="O15" s="32">
        <f>IF('P25'!AF15=0,0,'P25'!AF15)</f>
        <v>0.86</v>
      </c>
      <c r="P15" s="201">
        <f>IF('P25'!AG15=0,0,'P25'!AG15)</f>
        <v>15.1</v>
      </c>
      <c r="Q15" s="201">
        <f>IF('P25'!AH15=0,0,'P25'!AH15)</f>
        <v>2.8</v>
      </c>
      <c r="R15" s="201">
        <f>IF('P25'!AI15=0,0,'P25'!AI15)</f>
        <v>3.9</v>
      </c>
      <c r="S15" s="141"/>
      <c r="T15" s="139">
        <f t="shared" si="2"/>
        <v>0</v>
      </c>
      <c r="U15" s="140">
        <f t="shared" si="5"/>
        <v>0</v>
      </c>
      <c r="V15" s="141"/>
      <c r="W15" s="141"/>
      <c r="X15" s="141"/>
    </row>
    <row r="16" spans="2:24" s="5" customFormat="1" ht="14.25" customHeight="1" x14ac:dyDescent="0.25">
      <c r="B16" s="690"/>
      <c r="C16" s="31" t="s">
        <v>179</v>
      </c>
      <c r="D16" s="205">
        <f>'P25'!D16</f>
        <v>0</v>
      </c>
      <c r="E16" s="675"/>
      <c r="F16" s="676"/>
      <c r="G16" s="676"/>
      <c r="H16" s="206">
        <f t="shared" si="3"/>
        <v>0</v>
      </c>
      <c r="I16" s="207">
        <f t="shared" si="4"/>
        <v>0</v>
      </c>
      <c r="J16" s="138" t="str">
        <f t="shared" si="0"/>
        <v/>
      </c>
      <c r="K16" s="138" t="str">
        <f t="shared" si="1"/>
        <v/>
      </c>
      <c r="N16" s="51" t="str">
        <f>IF('P25'!AE16=0,"",'P25'!AE16)</f>
        <v>zrno</v>
      </c>
      <c r="O16" s="32">
        <f>IF('P25'!AF16=0,0,'P25'!AF16)</f>
        <v>0.86</v>
      </c>
      <c r="P16" s="201">
        <f>IF('P25'!AG16=0,0,'P25'!AG16)</f>
        <v>17.2</v>
      </c>
      <c r="Q16" s="201">
        <f>IF('P25'!AH16=0,0,'P25'!AH16)</f>
        <v>2.8</v>
      </c>
      <c r="R16" s="201">
        <f>IF('P25'!AI16=0,0,'P25'!AI16)</f>
        <v>3.9</v>
      </c>
      <c r="S16" s="141"/>
      <c r="T16" s="139">
        <f t="shared" si="2"/>
        <v>0</v>
      </c>
      <c r="U16" s="140">
        <f t="shared" si="5"/>
        <v>0</v>
      </c>
      <c r="V16" s="141"/>
      <c r="W16" s="141"/>
      <c r="X16" s="141"/>
    </row>
    <row r="17" spans="2:24" s="5" customFormat="1" ht="14.25" customHeight="1" x14ac:dyDescent="0.25">
      <c r="B17" s="158" t="s">
        <v>81</v>
      </c>
      <c r="C17" s="34"/>
      <c r="D17" s="205">
        <f>'P25'!D17</f>
        <v>0</v>
      </c>
      <c r="E17" s="675"/>
      <c r="F17" s="676"/>
      <c r="G17" s="676"/>
      <c r="H17" s="206">
        <f t="shared" si="3"/>
        <v>0</v>
      </c>
      <c r="I17" s="207">
        <f t="shared" si="4"/>
        <v>0</v>
      </c>
      <c r="J17" s="138" t="str">
        <f t="shared" si="0"/>
        <v/>
      </c>
      <c r="K17" s="138" t="str">
        <f t="shared" si="1"/>
        <v/>
      </c>
      <c r="N17" s="51" t="str">
        <f>IF('P25'!AE17=0,"",'P25'!AE17)</f>
        <v>zrno</v>
      </c>
      <c r="O17" s="32">
        <f>IF('P25'!AF17=0,0,'P25'!AF17)</f>
        <v>0.86</v>
      </c>
      <c r="P17" s="201">
        <f>IF('P25'!AG17=0,0,'P25'!AG17)</f>
        <v>18.600000000000001</v>
      </c>
      <c r="Q17" s="201">
        <f>IF('P25'!AH17=0,0,'P25'!AH17)</f>
        <v>4</v>
      </c>
      <c r="R17" s="201">
        <f>IF('P25'!AI17=0,0,'P25'!AI17)</f>
        <v>5.0999999999999996</v>
      </c>
      <c r="S17" s="141"/>
      <c r="T17" s="139">
        <f t="shared" si="2"/>
        <v>0</v>
      </c>
      <c r="U17" s="140">
        <f t="shared" si="5"/>
        <v>0</v>
      </c>
      <c r="V17" s="141"/>
      <c r="W17" s="141"/>
      <c r="X17" s="141"/>
    </row>
    <row r="18" spans="2:24" s="5" customFormat="1" ht="14.25" customHeight="1" x14ac:dyDescent="0.25">
      <c r="B18" s="158" t="s">
        <v>82</v>
      </c>
      <c r="C18" s="34"/>
      <c r="D18" s="205">
        <f>'P25'!D18</f>
        <v>0</v>
      </c>
      <c r="E18" s="675"/>
      <c r="F18" s="676"/>
      <c r="G18" s="676"/>
      <c r="H18" s="206">
        <f t="shared" si="3"/>
        <v>0</v>
      </c>
      <c r="I18" s="207">
        <f t="shared" si="4"/>
        <v>0</v>
      </c>
      <c r="J18" s="138" t="str">
        <f t="shared" si="0"/>
        <v/>
      </c>
      <c r="K18" s="138" t="str">
        <f t="shared" si="1"/>
        <v/>
      </c>
      <c r="N18" s="51" t="str">
        <f>IF('P25'!AE18=0,"",'P25'!AE18)</f>
        <v>zrno</v>
      </c>
      <c r="O18" s="32">
        <f>IF('P25'!AF18=0,0,'P25'!AF18)</f>
        <v>0.86</v>
      </c>
      <c r="P18" s="201">
        <f>IF('P25'!AG18=0,0,'P25'!AG18)</f>
        <v>17.899999999999999</v>
      </c>
      <c r="Q18" s="201">
        <f>IF('P25'!AH18=0,0,'P25'!AH18)</f>
        <v>3.9</v>
      </c>
      <c r="R18" s="201">
        <f>IF('P25'!AI18=0,0,'P25'!AI18)</f>
        <v>4.5999999999999996</v>
      </c>
      <c r="S18" s="141"/>
      <c r="T18" s="139">
        <f t="shared" si="2"/>
        <v>0</v>
      </c>
      <c r="U18" s="140">
        <f t="shared" si="5"/>
        <v>0</v>
      </c>
      <c r="V18" s="141"/>
      <c r="W18" s="141"/>
      <c r="X18" s="141"/>
    </row>
    <row r="19" spans="2:24" s="5" customFormat="1" ht="14.25" customHeight="1" x14ac:dyDescent="0.25">
      <c r="B19" s="158" t="s">
        <v>83</v>
      </c>
      <c r="C19" s="34"/>
      <c r="D19" s="205">
        <f>'P25'!D19</f>
        <v>0</v>
      </c>
      <c r="E19" s="675"/>
      <c r="F19" s="676"/>
      <c r="G19" s="676"/>
      <c r="H19" s="206">
        <f t="shared" si="3"/>
        <v>0</v>
      </c>
      <c r="I19" s="207">
        <f t="shared" si="4"/>
        <v>0</v>
      </c>
      <c r="J19" s="138" t="str">
        <f t="shared" si="0"/>
        <v/>
      </c>
      <c r="K19" s="138" t="str">
        <f t="shared" si="1"/>
        <v/>
      </c>
      <c r="N19" s="51" t="str">
        <f>IF('P25'!AE19=0,"",'P25'!AE19)</f>
        <v>zrno</v>
      </c>
      <c r="O19" s="32">
        <f>IF('P25'!AF19=0,0,'P25'!AF19)</f>
        <v>0.86</v>
      </c>
      <c r="P19" s="201">
        <f>IF('P25'!AG19=0,0,'P25'!AG19)</f>
        <v>15.8</v>
      </c>
      <c r="Q19" s="201">
        <f>IF('P25'!AH19=0,0,'P25'!AH19)</f>
        <v>3.5</v>
      </c>
      <c r="R19" s="201">
        <f>IF('P25'!AI19=0,0,'P25'!AI19)</f>
        <v>4.5999999999999996</v>
      </c>
      <c r="S19" s="141"/>
      <c r="T19" s="139">
        <f t="shared" si="2"/>
        <v>0</v>
      </c>
      <c r="U19" s="140">
        <f t="shared" si="5"/>
        <v>0</v>
      </c>
      <c r="V19" s="141"/>
      <c r="W19" s="141"/>
      <c r="X19" s="141"/>
    </row>
    <row r="20" spans="2:24" s="5" customFormat="1" ht="14.25" customHeight="1" x14ac:dyDescent="0.25">
      <c r="B20" s="158" t="s">
        <v>165</v>
      </c>
      <c r="C20" s="34"/>
      <c r="D20" s="205">
        <f>'P25'!D20</f>
        <v>0</v>
      </c>
      <c r="E20" s="675"/>
      <c r="F20" s="676"/>
      <c r="G20" s="676"/>
      <c r="H20" s="206">
        <f t="shared" si="3"/>
        <v>0</v>
      </c>
      <c r="I20" s="207">
        <f t="shared" si="4"/>
        <v>0</v>
      </c>
      <c r="J20" s="138" t="str">
        <f t="shared" si="0"/>
        <v/>
      </c>
      <c r="K20" s="138" t="str">
        <f t="shared" si="1"/>
        <v/>
      </c>
      <c r="N20" s="51" t="str">
        <f>IF('P25'!AE20=0,"",'P25'!AE20)</f>
        <v>zrno</v>
      </c>
      <c r="O20" s="32">
        <f>IF('P25'!AF20=0,0,'P25'!AF20)</f>
        <v>0.91</v>
      </c>
      <c r="P20" s="201">
        <f>IF('P25'!AG20=0,0,'P25'!AG20)</f>
        <v>17.899999999999999</v>
      </c>
      <c r="Q20" s="201">
        <f>IF('P25'!AH20=0,0,'P25'!AH20)</f>
        <v>2.8</v>
      </c>
      <c r="R20" s="201">
        <f>IF('P25'!AI20=0,0,'P25'!AI20)</f>
        <v>3.3</v>
      </c>
      <c r="S20" s="141"/>
      <c r="T20" s="139">
        <f t="shared" si="2"/>
        <v>0</v>
      </c>
      <c r="U20" s="140">
        <f t="shared" si="5"/>
        <v>0</v>
      </c>
      <c r="V20" s="141"/>
      <c r="W20" s="141"/>
      <c r="X20" s="141"/>
    </row>
    <row r="21" spans="2:24" s="5" customFormat="1" ht="14.25" customHeight="1" x14ac:dyDescent="0.25">
      <c r="B21" s="158" t="s">
        <v>432</v>
      </c>
      <c r="C21" s="34"/>
      <c r="D21" s="205">
        <f>'P25'!D21</f>
        <v>0</v>
      </c>
      <c r="E21" s="675"/>
      <c r="F21" s="676"/>
      <c r="G21" s="676"/>
      <c r="H21" s="206">
        <f t="shared" si="3"/>
        <v>0</v>
      </c>
      <c r="I21" s="207">
        <f t="shared" si="4"/>
        <v>0</v>
      </c>
      <c r="J21" s="138" t="str">
        <f t="shared" si="0"/>
        <v/>
      </c>
      <c r="K21" s="138" t="str">
        <f t="shared" si="1"/>
        <v/>
      </c>
      <c r="N21" s="51" t="str">
        <f>IF('P25'!AE21=0,"",'P25'!AE21)</f>
        <v>zrno</v>
      </c>
      <c r="O21" s="32">
        <f>IF('P25'!AF21=0,0,'P25'!AF21)</f>
        <v>0.86</v>
      </c>
      <c r="P21" s="201">
        <f>IF('P25'!AG21=0,0,'P25'!AG21)</f>
        <v>18</v>
      </c>
      <c r="Q21" s="201">
        <f>IF('P25'!AH21=0,0,'P25'!AH21)</f>
        <v>3</v>
      </c>
      <c r="R21" s="201">
        <f>IF('P25'!AI21=0,0,'P25'!AI21)</f>
        <v>4</v>
      </c>
      <c r="S21" s="141"/>
      <c r="T21" s="139">
        <f t="shared" si="2"/>
        <v>0</v>
      </c>
      <c r="U21" s="140">
        <f t="shared" si="5"/>
        <v>0</v>
      </c>
      <c r="V21" s="141"/>
      <c r="W21" s="141"/>
      <c r="X21" s="141"/>
    </row>
    <row r="22" spans="2:24" s="5" customFormat="1" ht="14.25" customHeight="1" x14ac:dyDescent="0.25">
      <c r="B22" s="158" t="s">
        <v>431</v>
      </c>
      <c r="C22" s="34"/>
      <c r="D22" s="205">
        <f>'P25'!D22</f>
        <v>0</v>
      </c>
      <c r="E22" s="675"/>
      <c r="F22" s="676"/>
      <c r="G22" s="676"/>
      <c r="H22" s="206">
        <f t="shared" si="3"/>
        <v>0</v>
      </c>
      <c r="I22" s="207">
        <f t="shared" si="4"/>
        <v>0</v>
      </c>
      <c r="J22" s="138" t="str">
        <f t="shared" si="0"/>
        <v/>
      </c>
      <c r="K22" s="138" t="str">
        <f t="shared" si="1"/>
        <v/>
      </c>
      <c r="N22" s="51" t="str">
        <f>IF('P25'!AE22=0,"",'P25'!AE22)</f>
        <v>zrno</v>
      </c>
      <c r="O22" s="32">
        <f>IF('P25'!AF22=0,0,'P25'!AF22)</f>
        <v>0.86</v>
      </c>
      <c r="P22" s="201">
        <f>IF('P25'!AG22=0,0,'P25'!AG22)</f>
        <v>20.7</v>
      </c>
      <c r="Q22" s="201">
        <f>IF('P25'!AH22=0,0,'P25'!AH22)</f>
        <v>3.4</v>
      </c>
      <c r="R22" s="201">
        <f>IF('P25'!AI22=0,0,'P25'!AI22)</f>
        <v>6.5</v>
      </c>
      <c r="S22" s="141"/>
      <c r="T22" s="139">
        <f t="shared" si="2"/>
        <v>0</v>
      </c>
      <c r="U22" s="140">
        <f t="shared" si="5"/>
        <v>0</v>
      </c>
      <c r="V22" s="141"/>
      <c r="W22" s="141"/>
      <c r="X22" s="141"/>
    </row>
    <row r="23" spans="2:24" s="5" customFormat="1" ht="14.25" customHeight="1" x14ac:dyDescent="0.25">
      <c r="B23" s="158" t="s">
        <v>262</v>
      </c>
      <c r="C23" s="34"/>
      <c r="D23" s="205">
        <f>'P25'!D23</f>
        <v>0</v>
      </c>
      <c r="E23" s="675"/>
      <c r="F23" s="676"/>
      <c r="G23" s="676"/>
      <c r="H23" s="206">
        <f t="shared" si="3"/>
        <v>0</v>
      </c>
      <c r="I23" s="207">
        <f t="shared" si="4"/>
        <v>0</v>
      </c>
      <c r="J23" s="138" t="str">
        <f t="shared" si="0"/>
        <v/>
      </c>
      <c r="K23" s="138" t="str">
        <f t="shared" si="1"/>
        <v/>
      </c>
      <c r="N23" s="51" t="str">
        <f>IF('P25'!AE23=0,"",'P25'!AE23)</f>
        <v>zrno</v>
      </c>
      <c r="O23" s="32">
        <f>IF('P25'!AF23=0,0,'P25'!AF23)</f>
        <v>0.86</v>
      </c>
      <c r="P23" s="201">
        <f>IF('P25'!AG23=0,0,'P25'!AG23)</f>
        <v>35.9</v>
      </c>
      <c r="Q23" s="201">
        <f>IF('P25'!AH23=0,0,'P25'!AH23)</f>
        <v>3.6</v>
      </c>
      <c r="R23" s="201">
        <f>IF('P25'!AI23=0,0,'P25'!AI23)</f>
        <v>8.4</v>
      </c>
      <c r="S23" s="141"/>
      <c r="T23" s="139">
        <f t="shared" si="2"/>
        <v>0</v>
      </c>
      <c r="U23" s="140">
        <f t="shared" si="5"/>
        <v>0</v>
      </c>
      <c r="V23" s="141"/>
      <c r="W23" s="141"/>
      <c r="X23" s="141"/>
    </row>
    <row r="24" spans="2:24" s="5" customFormat="1" ht="14.25" customHeight="1" x14ac:dyDescent="0.25">
      <c r="B24" s="158" t="s">
        <v>88</v>
      </c>
      <c r="C24" s="34"/>
      <c r="D24" s="205">
        <f>'P25'!D24</f>
        <v>0</v>
      </c>
      <c r="E24" s="675"/>
      <c r="F24" s="676"/>
      <c r="G24" s="676"/>
      <c r="H24" s="206">
        <f t="shared" si="3"/>
        <v>0</v>
      </c>
      <c r="I24" s="207">
        <f t="shared" si="4"/>
        <v>0</v>
      </c>
      <c r="J24" s="138" t="str">
        <f t="shared" si="0"/>
        <v/>
      </c>
      <c r="K24" s="138" t="str">
        <f t="shared" si="1"/>
        <v/>
      </c>
      <c r="N24" s="51" t="str">
        <f>IF('P25'!AE24=0,"",'P25'!AE24)</f>
        <v>zrno</v>
      </c>
      <c r="O24" s="32">
        <f>IF('P25'!AF24=0,0,'P25'!AF24)</f>
        <v>0.86</v>
      </c>
      <c r="P24" s="201">
        <f>IF('P25'!AG24=0,0,'P25'!AG24)</f>
        <v>55.6</v>
      </c>
      <c r="Q24" s="201">
        <f>IF('P25'!AH24=0,0,'P25'!AH24)</f>
        <v>7</v>
      </c>
      <c r="R24" s="201">
        <f>IF('P25'!AI24=0,0,'P25'!AI24)</f>
        <v>13.1</v>
      </c>
      <c r="S24" s="141"/>
      <c r="T24" s="139">
        <f t="shared" si="2"/>
        <v>0</v>
      </c>
      <c r="U24" s="140">
        <f t="shared" si="5"/>
        <v>0</v>
      </c>
      <c r="V24" s="141"/>
      <c r="W24" s="141"/>
      <c r="X24" s="141"/>
    </row>
    <row r="25" spans="2:24" s="5" customFormat="1" ht="14.25" customHeight="1" x14ac:dyDescent="0.25">
      <c r="B25" s="158" t="s">
        <v>263</v>
      </c>
      <c r="C25" s="34"/>
      <c r="D25" s="205">
        <f>'P25'!D25</f>
        <v>0</v>
      </c>
      <c r="E25" s="675"/>
      <c r="F25" s="676"/>
      <c r="G25" s="676"/>
      <c r="H25" s="206">
        <f t="shared" si="3"/>
        <v>0</v>
      </c>
      <c r="I25" s="207">
        <f t="shared" si="4"/>
        <v>0</v>
      </c>
      <c r="J25" s="138" t="str">
        <f t="shared" si="0"/>
        <v/>
      </c>
      <c r="K25" s="138" t="str">
        <f t="shared" si="1"/>
        <v/>
      </c>
      <c r="N25" s="51" t="str">
        <f>IF('P25'!AE25=0,"",'P25'!AE25)</f>
        <v>zrno</v>
      </c>
      <c r="O25" s="32">
        <f>IF('P25'!AF25=0,0,'P25'!AF25)</f>
        <v>0.86</v>
      </c>
      <c r="P25" s="201">
        <f>IF('P25'!AG25=0,0,'P25'!AG25)</f>
        <v>42.4</v>
      </c>
      <c r="Q25" s="201">
        <f>IF('P25'!AH25=0,0,'P25'!AH25)</f>
        <v>4.5999999999999996</v>
      </c>
      <c r="R25" s="201">
        <f>IF('P25'!AI25=0,0,'P25'!AI25)</f>
        <v>10.199999999999999</v>
      </c>
      <c r="S25" s="141"/>
      <c r="T25" s="139">
        <f t="shared" si="2"/>
        <v>0</v>
      </c>
      <c r="U25" s="140">
        <f t="shared" si="5"/>
        <v>0</v>
      </c>
      <c r="V25" s="141"/>
      <c r="W25" s="141"/>
      <c r="X25" s="141"/>
    </row>
    <row r="26" spans="2:24" s="5" customFormat="1" ht="14.25" customHeight="1" x14ac:dyDescent="0.25">
      <c r="B26" s="158" t="s">
        <v>435</v>
      </c>
      <c r="C26" s="34"/>
      <c r="D26" s="205">
        <f>'P25'!D26</f>
        <v>0</v>
      </c>
      <c r="E26" s="675"/>
      <c r="F26" s="676"/>
      <c r="G26" s="676"/>
      <c r="H26" s="206">
        <f t="shared" si="3"/>
        <v>0</v>
      </c>
      <c r="I26" s="207">
        <f t="shared" si="4"/>
        <v>0</v>
      </c>
      <c r="J26" s="138" t="str">
        <f t="shared" si="0"/>
        <v/>
      </c>
      <c r="K26" s="138" t="str">
        <f t="shared" si="1"/>
        <v/>
      </c>
      <c r="N26" s="51" t="str">
        <f>IF('P25'!AE26=0,"",'P25'!AE26)</f>
        <v>zrno</v>
      </c>
      <c r="O26" s="32">
        <f>IF('P25'!AF26=0,0,'P25'!AF26)</f>
        <v>0.86</v>
      </c>
      <c r="P26" s="201">
        <f>IF('P25'!AG26=0,0,'P25'!AG26)</f>
        <v>40</v>
      </c>
      <c r="Q26" s="201">
        <f>IF('P25'!AH26=0,0,'P25'!AH26)</f>
        <v>4</v>
      </c>
      <c r="R26" s="201">
        <f>IF('P25'!AI26=0,0,'P25'!AI26)</f>
        <v>10</v>
      </c>
      <c r="S26" s="141"/>
      <c r="T26" s="139">
        <f t="shared" si="2"/>
        <v>0</v>
      </c>
      <c r="U26" s="140">
        <f t="shared" si="5"/>
        <v>0</v>
      </c>
      <c r="V26" s="141"/>
      <c r="W26" s="141"/>
      <c r="X26" s="141"/>
    </row>
    <row r="27" spans="2:24" s="5" customFormat="1" ht="14.25" customHeight="1" x14ac:dyDescent="0.25">
      <c r="B27" s="689" t="s">
        <v>184</v>
      </c>
      <c r="C27" s="31" t="s">
        <v>182</v>
      </c>
      <c r="D27" s="205">
        <f>'P25'!D27</f>
        <v>0</v>
      </c>
      <c r="E27" s="675"/>
      <c r="F27" s="676"/>
      <c r="G27" s="676"/>
      <c r="H27" s="206">
        <f t="shared" si="3"/>
        <v>0</v>
      </c>
      <c r="I27" s="207">
        <f t="shared" si="4"/>
        <v>0</v>
      </c>
      <c r="J27" s="138" t="str">
        <f t="shared" si="0"/>
        <v/>
      </c>
      <c r="K27" s="138" t="str">
        <f t="shared" si="1"/>
        <v/>
      </c>
      <c r="N27" s="51" t="str">
        <f>IF('P25'!AE27=0,"",'P25'!AE27)</f>
        <v>hlízy</v>
      </c>
      <c r="O27" s="32">
        <f>IF('P25'!AF27=0,0,'P25'!AF27)</f>
        <v>0.18</v>
      </c>
      <c r="P27" s="201">
        <f>IF('P25'!AG27=0,0,'P25'!AG27)</f>
        <v>3</v>
      </c>
      <c r="Q27" s="201">
        <f>IF('P25'!AH27=0,0,'P25'!AH27)</f>
        <v>0.5</v>
      </c>
      <c r="R27" s="201">
        <f>IF('P25'!AI27=0,0,'P25'!AI27)</f>
        <v>4.4000000000000004</v>
      </c>
      <c r="S27" s="141"/>
      <c r="T27" s="139">
        <f t="shared" si="2"/>
        <v>0</v>
      </c>
      <c r="U27" s="140">
        <f t="shared" si="5"/>
        <v>0</v>
      </c>
      <c r="V27" s="141"/>
      <c r="W27" s="141"/>
      <c r="X27" s="141"/>
    </row>
    <row r="28" spans="2:24" s="5" customFormat="1" ht="14.25" customHeight="1" x14ac:dyDescent="0.25">
      <c r="B28" s="690"/>
      <c r="C28" s="31" t="s">
        <v>101</v>
      </c>
      <c r="D28" s="205">
        <f>'P25'!D28</f>
        <v>0</v>
      </c>
      <c r="E28" s="675"/>
      <c r="F28" s="676"/>
      <c r="G28" s="676"/>
      <c r="H28" s="206">
        <f t="shared" si="3"/>
        <v>0</v>
      </c>
      <c r="I28" s="207">
        <f t="shared" si="4"/>
        <v>0</v>
      </c>
      <c r="J28" s="138" t="str">
        <f t="shared" si="0"/>
        <v/>
      </c>
      <c r="K28" s="138" t="str">
        <f t="shared" si="1"/>
        <v/>
      </c>
      <c r="N28" s="51" t="str">
        <f>IF('P25'!AE28=0,"",'P25'!AE28)</f>
        <v>hlízy</v>
      </c>
      <c r="O28" s="32">
        <f>IF('P25'!AF28=0,0,'P25'!AF28)</f>
        <v>0.22</v>
      </c>
      <c r="P28" s="201">
        <f>IF('P25'!AG28=0,0,'P25'!AG28)</f>
        <v>3.5</v>
      </c>
      <c r="Q28" s="201">
        <f>IF('P25'!AH28=0,0,'P25'!AH28)</f>
        <v>0.5</v>
      </c>
      <c r="R28" s="201">
        <f>IF('P25'!AI28=0,0,'P25'!AI28)</f>
        <v>4.5</v>
      </c>
      <c r="S28" s="141"/>
      <c r="T28" s="139">
        <f t="shared" si="2"/>
        <v>0</v>
      </c>
      <c r="U28" s="140">
        <f t="shared" si="5"/>
        <v>0</v>
      </c>
      <c r="V28" s="141"/>
      <c r="W28" s="141"/>
      <c r="X28" s="141"/>
    </row>
    <row r="29" spans="2:24" s="5" customFormat="1" ht="14.25" customHeight="1" x14ac:dyDescent="0.25">
      <c r="B29" s="158" t="s">
        <v>223</v>
      </c>
      <c r="C29" s="34"/>
      <c r="D29" s="205">
        <f>'P25'!D29</f>
        <v>0</v>
      </c>
      <c r="E29" s="675"/>
      <c r="F29" s="676"/>
      <c r="G29" s="676"/>
      <c r="H29" s="206">
        <f t="shared" si="3"/>
        <v>0</v>
      </c>
      <c r="I29" s="207">
        <f t="shared" si="4"/>
        <v>0</v>
      </c>
      <c r="J29" s="138" t="str">
        <f t="shared" si="0"/>
        <v/>
      </c>
      <c r="K29" s="138" t="str">
        <f t="shared" si="1"/>
        <v/>
      </c>
      <c r="N29" s="51" t="str">
        <f>IF('P25'!AE29=0,"",'P25'!AE29)</f>
        <v>bulvy</v>
      </c>
      <c r="O29" s="32">
        <f>IF('P25'!AF29=0,0,'P25'!AF29)</f>
        <v>0.23</v>
      </c>
      <c r="P29" s="201">
        <f>IF('P25'!AG29=0,0,'P25'!AG29)</f>
        <v>1.8</v>
      </c>
      <c r="Q29" s="201">
        <f>IF('P25'!AH29=0,0,'P25'!AH29)</f>
        <v>0.3</v>
      </c>
      <c r="R29" s="201">
        <f>IF('P25'!AI29=0,0,'P25'!AI29)</f>
        <v>2</v>
      </c>
      <c r="S29" s="141"/>
      <c r="T29" s="139">
        <f t="shared" si="2"/>
        <v>0</v>
      </c>
      <c r="U29" s="140">
        <f t="shared" si="5"/>
        <v>0</v>
      </c>
      <c r="V29" s="141"/>
      <c r="W29" s="141"/>
      <c r="X29" s="141"/>
    </row>
    <row r="30" spans="2:24" s="5" customFormat="1" ht="14.25" customHeight="1" x14ac:dyDescent="0.25">
      <c r="B30" s="158" t="s">
        <v>224</v>
      </c>
      <c r="C30" s="34"/>
      <c r="D30" s="205">
        <f>'P25'!D30</f>
        <v>0</v>
      </c>
      <c r="E30" s="675"/>
      <c r="F30" s="676"/>
      <c r="G30" s="676"/>
      <c r="H30" s="206">
        <f t="shared" si="3"/>
        <v>0</v>
      </c>
      <c r="I30" s="207">
        <f t="shared" si="4"/>
        <v>0</v>
      </c>
      <c r="J30" s="138" t="str">
        <f t="shared" si="0"/>
        <v/>
      </c>
      <c r="K30" s="138" t="str">
        <f t="shared" si="1"/>
        <v/>
      </c>
      <c r="N30" s="51" t="str">
        <f>IF('P25'!AE30=0,"",'P25'!AE30)</f>
        <v>bulvy</v>
      </c>
      <c r="O30" s="32">
        <f>IF('P25'!AF30=0,0,'P25'!AF30)</f>
        <v>0.17</v>
      </c>
      <c r="P30" s="201">
        <f>IF('P25'!AG30=0,0,'P25'!AG30)</f>
        <v>1.4</v>
      </c>
      <c r="Q30" s="201">
        <f>IF('P25'!AH30=0,0,'P25'!AH30)</f>
        <v>0.3</v>
      </c>
      <c r="R30" s="201">
        <f>IF('P25'!AI30=0,0,'P25'!AI30)</f>
        <v>1.3</v>
      </c>
      <c r="S30" s="141"/>
      <c r="T30" s="139">
        <f t="shared" si="2"/>
        <v>0</v>
      </c>
      <c r="U30" s="140">
        <f t="shared" si="5"/>
        <v>0</v>
      </c>
      <c r="V30" s="141"/>
      <c r="W30" s="141"/>
      <c r="X30" s="141"/>
    </row>
    <row r="31" spans="2:24" s="5" customFormat="1" ht="14.25" customHeight="1" x14ac:dyDescent="0.25">
      <c r="B31" s="158" t="s">
        <v>436</v>
      </c>
      <c r="C31" s="34"/>
      <c r="D31" s="205">
        <f>'P25'!D31</f>
        <v>0</v>
      </c>
      <c r="E31" s="675"/>
      <c r="F31" s="676"/>
      <c r="G31" s="676"/>
      <c r="H31" s="206">
        <f t="shared" si="3"/>
        <v>0</v>
      </c>
      <c r="I31" s="207">
        <f t="shared" si="4"/>
        <v>0</v>
      </c>
      <c r="J31" s="138" t="str">
        <f t="shared" si="0"/>
        <v/>
      </c>
      <c r="K31" s="138" t="str">
        <f t="shared" si="1"/>
        <v/>
      </c>
      <c r="N31" s="51" t="str">
        <f>IF('P25'!AE31=0,"",'P25'!AE31)</f>
        <v>hlízy, bulvy</v>
      </c>
      <c r="O31" s="32">
        <f>IF('P25'!AF31=0,0,'P25'!AF31)</f>
        <v>0.22</v>
      </c>
      <c r="P31" s="201">
        <f>IF('P25'!AG31=0,0,'P25'!AG31)</f>
        <v>2.5</v>
      </c>
      <c r="Q31" s="201">
        <f>IF('P25'!AH31=0,0,'P25'!AH31)</f>
        <v>0.4</v>
      </c>
      <c r="R31" s="201">
        <f>IF('P25'!AI31=0,0,'P25'!AI31)</f>
        <v>3.5</v>
      </c>
      <c r="S31" s="141"/>
      <c r="T31" s="139">
        <f t="shared" si="2"/>
        <v>0</v>
      </c>
      <c r="U31" s="140">
        <f t="shared" si="5"/>
        <v>0</v>
      </c>
      <c r="V31" s="141"/>
      <c r="W31" s="141"/>
      <c r="X31" s="141"/>
    </row>
    <row r="32" spans="2:24" s="5" customFormat="1" ht="14.25" customHeight="1" x14ac:dyDescent="0.25">
      <c r="B32" s="158" t="s">
        <v>437</v>
      </c>
      <c r="C32" s="34"/>
      <c r="D32" s="205">
        <f>'P25'!D32</f>
        <v>0</v>
      </c>
      <c r="E32" s="675"/>
      <c r="F32" s="676"/>
      <c r="G32" s="676"/>
      <c r="H32" s="206">
        <f t="shared" si="3"/>
        <v>0</v>
      </c>
      <c r="I32" s="207">
        <f t="shared" si="4"/>
        <v>0</v>
      </c>
      <c r="J32" s="138" t="str">
        <f t="shared" si="0"/>
        <v/>
      </c>
      <c r="K32" s="138" t="str">
        <f t="shared" si="1"/>
        <v/>
      </c>
      <c r="N32" s="51" t="str">
        <f>IF('P25'!AE32=0,"",'P25'!AE32)</f>
        <v>semeno</v>
      </c>
      <c r="O32" s="32">
        <f>IF('P25'!AF32=0,0,'P25'!AF32)</f>
        <v>0.92</v>
      </c>
      <c r="P32" s="201">
        <f>IF('P25'!AG32=0,0,'P25'!AG32)</f>
        <v>34.200000000000003</v>
      </c>
      <c r="Q32" s="201">
        <f>IF('P25'!AH32=0,0,'P25'!AH32)</f>
        <v>7.2</v>
      </c>
      <c r="R32" s="201">
        <f>IF('P25'!AI32=0,0,'P25'!AI32)</f>
        <v>7.9</v>
      </c>
      <c r="S32" s="141"/>
      <c r="T32" s="139">
        <f t="shared" si="2"/>
        <v>0</v>
      </c>
      <c r="U32" s="140">
        <f t="shared" si="5"/>
        <v>0</v>
      </c>
      <c r="V32" s="141"/>
      <c r="W32" s="141"/>
      <c r="X32" s="141"/>
    </row>
    <row r="33" spans="2:24" s="5" customFormat="1" ht="14.25" customHeight="1" x14ac:dyDescent="0.25">
      <c r="B33" s="158" t="s">
        <v>89</v>
      </c>
      <c r="C33" s="34"/>
      <c r="D33" s="205">
        <f>'P25'!D33</f>
        <v>0</v>
      </c>
      <c r="E33" s="675"/>
      <c r="F33" s="676"/>
      <c r="G33" s="676"/>
      <c r="H33" s="206">
        <f t="shared" si="3"/>
        <v>0</v>
      </c>
      <c r="I33" s="207">
        <f t="shared" si="4"/>
        <v>0</v>
      </c>
      <c r="J33" s="138" t="str">
        <f t="shared" si="0"/>
        <v/>
      </c>
      <c r="K33" s="138" t="str">
        <f t="shared" si="1"/>
        <v/>
      </c>
      <c r="N33" s="51" t="str">
        <f>IF('P25'!AE33=0,"",'P25'!AE33)</f>
        <v>semeno</v>
      </c>
      <c r="O33" s="32">
        <f>IF('P25'!AF33=0,0,'P25'!AF33)</f>
        <v>0.92</v>
      </c>
      <c r="P33" s="201">
        <f>IF('P25'!AG33=0,0,'P25'!AG33)</f>
        <v>28</v>
      </c>
      <c r="Q33" s="201">
        <f>IF('P25'!AH33=0,0,'P25'!AH33)</f>
        <v>7</v>
      </c>
      <c r="R33" s="201">
        <f>IF('P25'!AI33=0,0,'P25'!AI33)</f>
        <v>19.899999999999999</v>
      </c>
      <c r="S33" s="141"/>
      <c r="T33" s="139">
        <f t="shared" si="2"/>
        <v>0</v>
      </c>
      <c r="U33" s="140">
        <f t="shared" si="5"/>
        <v>0</v>
      </c>
      <c r="V33" s="141"/>
      <c r="W33" s="141"/>
      <c r="X33" s="141"/>
    </row>
    <row r="34" spans="2:24" s="5" customFormat="1" ht="14.25" customHeight="1" x14ac:dyDescent="0.25">
      <c r="B34" s="158" t="s">
        <v>84</v>
      </c>
      <c r="C34" s="34"/>
      <c r="D34" s="205">
        <f>'P25'!D34</f>
        <v>0</v>
      </c>
      <c r="E34" s="675"/>
      <c r="F34" s="676"/>
      <c r="G34" s="676"/>
      <c r="H34" s="206">
        <f t="shared" si="3"/>
        <v>0</v>
      </c>
      <c r="I34" s="207">
        <f t="shared" si="4"/>
        <v>0</v>
      </c>
      <c r="J34" s="138" t="str">
        <f t="shared" si="0"/>
        <v/>
      </c>
      <c r="K34" s="138" t="str">
        <f t="shared" si="1"/>
        <v/>
      </c>
      <c r="N34" s="51" t="str">
        <f>IF('P25'!AE34=0,"",'P25'!AE34)</f>
        <v>semeno</v>
      </c>
      <c r="O34" s="32">
        <f>IF('P25'!AF34=0,0,'P25'!AF34)</f>
        <v>0.86</v>
      </c>
      <c r="P34" s="201">
        <f>IF('P25'!AG34=0,0,'P25'!AG34)</f>
        <v>54.6</v>
      </c>
      <c r="Q34" s="201">
        <f>IF('P25'!AH34=0,0,'P25'!AH34)</f>
        <v>7.3</v>
      </c>
      <c r="R34" s="201">
        <f>IF('P25'!AI34=0,0,'P25'!AI34)</f>
        <v>18.899999999999999</v>
      </c>
      <c r="S34" s="141"/>
      <c r="T34" s="139">
        <f t="shared" si="2"/>
        <v>0</v>
      </c>
      <c r="U34" s="140">
        <f t="shared" si="5"/>
        <v>0</v>
      </c>
      <c r="V34" s="141"/>
      <c r="W34" s="141"/>
      <c r="X34" s="141"/>
    </row>
    <row r="35" spans="2:24" s="5" customFormat="1" ht="14.25" customHeight="1" x14ac:dyDescent="0.25">
      <c r="B35" s="158" t="s">
        <v>85</v>
      </c>
      <c r="C35" s="34"/>
      <c r="D35" s="205">
        <f>'P25'!D35</f>
        <v>0</v>
      </c>
      <c r="E35" s="675"/>
      <c r="F35" s="676"/>
      <c r="G35" s="676"/>
      <c r="H35" s="206">
        <f t="shared" si="3"/>
        <v>0</v>
      </c>
      <c r="I35" s="207">
        <f t="shared" si="4"/>
        <v>0</v>
      </c>
      <c r="J35" s="138" t="str">
        <f t="shared" si="0"/>
        <v/>
      </c>
      <c r="K35" s="138" t="str">
        <f t="shared" si="1"/>
        <v/>
      </c>
      <c r="N35" s="51" t="str">
        <f>IF('P25'!AE35=0,"",'P25'!AE35)</f>
        <v>semeno</v>
      </c>
      <c r="O35" s="32">
        <f>IF('P25'!AF35=0,0,'P25'!AF35)</f>
        <v>0.92</v>
      </c>
      <c r="P35" s="201">
        <f>IF('P25'!AG35=0,0,'P25'!AG35)</f>
        <v>33.200000000000003</v>
      </c>
      <c r="Q35" s="201">
        <f>IF('P25'!AH35=0,0,'P25'!AH35)</f>
        <v>7.6</v>
      </c>
      <c r="R35" s="201">
        <f>IF('P25'!AI35=0,0,'P25'!AI35)</f>
        <v>8.1999999999999993</v>
      </c>
      <c r="S35" s="141"/>
      <c r="T35" s="139">
        <f t="shared" si="2"/>
        <v>0</v>
      </c>
      <c r="U35" s="140">
        <f t="shared" si="5"/>
        <v>0</v>
      </c>
      <c r="V35" s="141"/>
      <c r="W35" s="141"/>
      <c r="X35" s="141"/>
    </row>
    <row r="36" spans="2:24" s="5" customFormat="1" ht="14.25" customHeight="1" x14ac:dyDescent="0.25">
      <c r="B36" s="158" t="s">
        <v>90</v>
      </c>
      <c r="C36" s="34"/>
      <c r="D36" s="205">
        <f>'P25'!D36</f>
        <v>0</v>
      </c>
      <c r="E36" s="675"/>
      <c r="F36" s="676"/>
      <c r="G36" s="676"/>
      <c r="H36" s="206">
        <f t="shared" si="3"/>
        <v>0</v>
      </c>
      <c r="I36" s="207">
        <f t="shared" si="4"/>
        <v>0</v>
      </c>
      <c r="J36" s="138" t="str">
        <f t="shared" si="0"/>
        <v/>
      </c>
      <c r="K36" s="138" t="str">
        <f t="shared" si="1"/>
        <v/>
      </c>
      <c r="N36" s="51" t="str">
        <f>IF('P25'!AE36=0,"",'P25'!AE36)</f>
        <v>semeno</v>
      </c>
      <c r="O36" s="32">
        <f>IF('P25'!AF36=0,0,'P25'!AF36)</f>
        <v>0.92</v>
      </c>
      <c r="P36" s="201">
        <f>IF('P25'!AG36=0,0,'P25'!AG36)</f>
        <v>50</v>
      </c>
      <c r="Q36" s="201">
        <f>IF('P25'!AH36=0,0,'P25'!AH36)</f>
        <v>7.7</v>
      </c>
      <c r="R36" s="201">
        <f>IF('P25'!AI36=0,0,'P25'!AI36)</f>
        <v>7.7</v>
      </c>
      <c r="S36" s="141"/>
      <c r="T36" s="139">
        <f t="shared" si="2"/>
        <v>0</v>
      </c>
      <c r="U36" s="140">
        <f t="shared" si="5"/>
        <v>0</v>
      </c>
      <c r="V36" s="141"/>
      <c r="W36" s="141"/>
      <c r="X36" s="141"/>
    </row>
    <row r="37" spans="2:24" s="5" customFormat="1" ht="14.25" customHeight="1" x14ac:dyDescent="0.25">
      <c r="B37" s="158" t="s">
        <v>91</v>
      </c>
      <c r="C37" s="34"/>
      <c r="D37" s="205">
        <f>'P25'!D37</f>
        <v>0</v>
      </c>
      <c r="E37" s="675"/>
      <c r="F37" s="676"/>
      <c r="G37" s="676"/>
      <c r="H37" s="206">
        <f t="shared" si="3"/>
        <v>0</v>
      </c>
      <c r="I37" s="207">
        <f t="shared" si="4"/>
        <v>0</v>
      </c>
      <c r="J37" s="138" t="str">
        <f t="shared" si="0"/>
        <v/>
      </c>
      <c r="K37" s="138" t="str">
        <f t="shared" si="1"/>
        <v/>
      </c>
      <c r="N37" s="51" t="str">
        <f>IF('P25'!AE37=0,"",'P25'!AE37)</f>
        <v>semeno</v>
      </c>
      <c r="O37" s="32">
        <f>IF('P25'!AF37=0,0,'P25'!AF37)</f>
        <v>0.92</v>
      </c>
      <c r="P37" s="201">
        <f>IF('P25'!AG37=0,0,'P25'!AG37)</f>
        <v>33.6</v>
      </c>
      <c r="Q37" s="201">
        <f>IF('P25'!AH37=0,0,'P25'!AH37)</f>
        <v>6.6</v>
      </c>
      <c r="R37" s="201">
        <f>IF('P25'!AI37=0,0,'P25'!AI37)</f>
        <v>8.3000000000000007</v>
      </c>
      <c r="S37" s="141"/>
      <c r="T37" s="139">
        <f t="shared" si="2"/>
        <v>0</v>
      </c>
      <c r="U37" s="140">
        <f t="shared" si="5"/>
        <v>0</v>
      </c>
      <c r="V37" s="141"/>
      <c r="W37" s="141"/>
      <c r="X37" s="141"/>
    </row>
    <row r="38" spans="2:24" s="5" customFormat="1" ht="14.25" customHeight="1" x14ac:dyDescent="0.25">
      <c r="B38" s="158" t="s">
        <v>86</v>
      </c>
      <c r="C38" s="34"/>
      <c r="D38" s="205">
        <f>'P25'!D38</f>
        <v>0</v>
      </c>
      <c r="E38" s="675"/>
      <c r="F38" s="676"/>
      <c r="G38" s="676"/>
      <c r="H38" s="206">
        <f t="shared" si="3"/>
        <v>0</v>
      </c>
      <c r="I38" s="207">
        <f t="shared" si="4"/>
        <v>0</v>
      </c>
      <c r="J38" s="138" t="str">
        <f t="shared" si="0"/>
        <v/>
      </c>
      <c r="K38" s="138" t="str">
        <f t="shared" si="1"/>
        <v/>
      </c>
      <c r="N38" s="51" t="str">
        <f>IF('P25'!AE38=0,"",'P25'!AE38)</f>
        <v>semeno</v>
      </c>
      <c r="O38" s="32">
        <f>IF('P25'!AF38=0,0,'P25'!AF38)</f>
        <v>0.92</v>
      </c>
      <c r="P38" s="201">
        <f>IF('P25'!AG38=0,0,'P25'!AG38)</f>
        <v>24.9</v>
      </c>
      <c r="Q38" s="201">
        <f>IF('P25'!AH38=0,0,'P25'!AH38)</f>
        <v>4.5999999999999996</v>
      </c>
      <c r="R38" s="201">
        <f>IF('P25'!AI38=0,0,'P25'!AI38)</f>
        <v>5.8</v>
      </c>
      <c r="S38" s="141"/>
      <c r="T38" s="139">
        <f t="shared" si="2"/>
        <v>0</v>
      </c>
      <c r="U38" s="140">
        <f t="shared" si="5"/>
        <v>0</v>
      </c>
      <c r="V38" s="141"/>
      <c r="W38" s="141"/>
      <c r="X38" s="141"/>
    </row>
    <row r="39" spans="2:24" s="5" customFormat="1" ht="14.25" customHeight="1" x14ac:dyDescent="0.25">
      <c r="B39" s="158" t="s">
        <v>438</v>
      </c>
      <c r="C39" s="34"/>
      <c r="D39" s="205">
        <f>'P25'!D39</f>
        <v>0</v>
      </c>
      <c r="E39" s="675"/>
      <c r="F39" s="676"/>
      <c r="G39" s="676"/>
      <c r="H39" s="206">
        <f t="shared" si="3"/>
        <v>0</v>
      </c>
      <c r="I39" s="207">
        <f t="shared" si="4"/>
        <v>0</v>
      </c>
      <c r="J39" s="138" t="str">
        <f t="shared" si="0"/>
        <v/>
      </c>
      <c r="K39" s="138" t="str">
        <f t="shared" si="1"/>
        <v/>
      </c>
      <c r="N39" s="51" t="str">
        <f>IF('P25'!AE39=0,"",'P25'!AE39)</f>
        <v>semeno</v>
      </c>
      <c r="O39" s="32">
        <f>IF('P25'!AF39=0,0,'P25'!AF39)</f>
        <v>0.92</v>
      </c>
      <c r="P39" s="201">
        <f>IF('P25'!AG39=0,0,'P25'!AG39)</f>
        <v>33</v>
      </c>
      <c r="Q39" s="201">
        <f>IF('P25'!AH39=0,0,'P25'!AH39)</f>
        <v>7</v>
      </c>
      <c r="R39" s="201">
        <f>IF('P25'!AI39=0,0,'P25'!AI39)</f>
        <v>8</v>
      </c>
      <c r="S39" s="141"/>
      <c r="T39" s="139">
        <f t="shared" si="2"/>
        <v>0</v>
      </c>
      <c r="U39" s="140">
        <f t="shared" si="5"/>
        <v>0</v>
      </c>
      <c r="V39" s="141"/>
      <c r="W39" s="141"/>
      <c r="X39" s="141"/>
    </row>
    <row r="40" spans="2:24" s="5" customFormat="1" ht="14.25" customHeight="1" x14ac:dyDescent="0.25">
      <c r="B40" s="158" t="s">
        <v>142</v>
      </c>
      <c r="C40" s="34"/>
      <c r="D40" s="205">
        <f>'P25'!D40</f>
        <v>0</v>
      </c>
      <c r="E40" s="675"/>
      <c r="F40" s="675"/>
      <c r="G40" s="675"/>
      <c r="H40" s="206">
        <f t="shared" si="3"/>
        <v>0</v>
      </c>
      <c r="I40" s="207">
        <f t="shared" si="4"/>
        <v>0</v>
      </c>
      <c r="J40" s="138" t="str">
        <f t="shared" si="0"/>
        <v/>
      </c>
      <c r="K40" s="138" t="str">
        <f t="shared" si="1"/>
        <v/>
      </c>
      <c r="N40" s="51" t="str">
        <f>IF('P25'!AE40=0,"",'P25'!AE40)</f>
        <v>semeno</v>
      </c>
      <c r="O40" s="32">
        <f>IF('P25'!AF40=0,0,'P25'!AF40)</f>
        <v>0.92</v>
      </c>
      <c r="P40" s="201">
        <f>IF('P25'!AG40=0,0,'P25'!AG40)</f>
        <v>33</v>
      </c>
      <c r="Q40" s="201">
        <f>IF('P25'!AH40=0,0,'P25'!AH40)</f>
        <v>7</v>
      </c>
      <c r="R40" s="201">
        <f>IF('P25'!AI40=0,0,'P25'!AI40)</f>
        <v>8</v>
      </c>
      <c r="S40" s="141"/>
      <c r="T40" s="139">
        <f t="shared" si="2"/>
        <v>0</v>
      </c>
      <c r="U40" s="140">
        <f t="shared" si="5"/>
        <v>0</v>
      </c>
      <c r="V40" s="141"/>
      <c r="W40" s="141"/>
      <c r="X40" s="141"/>
    </row>
    <row r="41" spans="2:24" s="5" customFormat="1" ht="14.25" customHeight="1" x14ac:dyDescent="0.25">
      <c r="B41" s="158" t="s">
        <v>185</v>
      </c>
      <c r="C41" s="35" t="s">
        <v>177</v>
      </c>
      <c r="D41" s="205">
        <f>'P25'!D41</f>
        <v>0</v>
      </c>
      <c r="E41" s="675"/>
      <c r="F41" s="675"/>
      <c r="G41" s="675"/>
      <c r="H41" s="206">
        <f t="shared" si="3"/>
        <v>0</v>
      </c>
      <c r="I41" s="207">
        <f t="shared" ref="I41:I71" si="6">IF(E41=0,0,IF((E41-G41)/E41&lt;0.3,0,(E41-G41)*F41*P41/1000))</f>
        <v>0</v>
      </c>
      <c r="J41" s="138" t="str">
        <f t="shared" ref="J41:J71" si="7">IF(T41&lt;0,"!","")</f>
        <v/>
      </c>
      <c r="K41" s="138" t="str">
        <f t="shared" ref="K41:K71" si="8">IF(U41&lt;0,"!","")</f>
        <v/>
      </c>
      <c r="N41" s="51" t="str">
        <f>IF('P25'!AE41=0,"",'P25'!AE41)</f>
        <v>zelená hmota</v>
      </c>
      <c r="O41" s="32">
        <f>IF('P25'!AF41=0,0,'P25'!AF41)</f>
        <v>0.35</v>
      </c>
      <c r="P41" s="201">
        <f>IF('P25'!AG41=0,0,'P25'!AG41)</f>
        <v>4.7</v>
      </c>
      <c r="Q41" s="201">
        <f>IF('P25'!AH41=0,0,'P25'!AH41)</f>
        <v>0.7</v>
      </c>
      <c r="R41" s="201">
        <f>IF('P25'!AI41=0,0,'P25'!AI41)</f>
        <v>4.4000000000000004</v>
      </c>
      <c r="S41" s="141"/>
      <c r="T41" s="139">
        <f t="shared" ref="T41:T71" si="9">D41-F41</f>
        <v>0</v>
      </c>
      <c r="U41" s="140">
        <f t="shared" ref="U41:U71" si="10">E41-G41</f>
        <v>0</v>
      </c>
      <c r="V41" s="141"/>
      <c r="W41" s="141"/>
      <c r="X41" s="141"/>
    </row>
    <row r="42" spans="2:24" s="5" customFormat="1" ht="14.25" customHeight="1" x14ac:dyDescent="0.25">
      <c r="B42" s="158" t="s">
        <v>443</v>
      </c>
      <c r="C42" s="35" t="s">
        <v>177</v>
      </c>
      <c r="D42" s="205">
        <f>'P25'!D42</f>
        <v>0</v>
      </c>
      <c r="E42" s="675"/>
      <c r="F42" s="675"/>
      <c r="G42" s="675"/>
      <c r="H42" s="206">
        <f t="shared" si="3"/>
        <v>0</v>
      </c>
      <c r="I42" s="207">
        <f t="shared" si="6"/>
        <v>0</v>
      </c>
      <c r="J42" s="138" t="str">
        <f t="shared" si="7"/>
        <v/>
      </c>
      <c r="K42" s="138" t="str">
        <f t="shared" si="8"/>
        <v/>
      </c>
      <c r="N42" s="51" t="str">
        <f>IF('P25'!AE42=0,"",'P25'!AE42)</f>
        <v>zelená hmota</v>
      </c>
      <c r="O42" s="32">
        <f>IF('P25'!AF42=0,0,'P25'!AF42)</f>
        <v>0.35</v>
      </c>
      <c r="P42" s="201">
        <f>IF('P25'!AG42=0,0,'P25'!AG42)</f>
        <v>4.7</v>
      </c>
      <c r="Q42" s="201">
        <f>IF('P25'!AH42=0,0,'P25'!AH42)</f>
        <v>0.7</v>
      </c>
      <c r="R42" s="201">
        <f>IF('P25'!AI42=0,0,'P25'!AI42)</f>
        <v>4.4000000000000004</v>
      </c>
      <c r="S42" s="141"/>
      <c r="T42" s="139">
        <f t="shared" si="9"/>
        <v>0</v>
      </c>
      <c r="U42" s="140">
        <f t="shared" si="10"/>
        <v>0</v>
      </c>
      <c r="V42" s="141"/>
      <c r="W42" s="141"/>
      <c r="X42" s="141"/>
    </row>
    <row r="43" spans="2:24" s="5" customFormat="1" ht="14.25" customHeight="1" x14ac:dyDescent="0.25">
      <c r="B43" s="158" t="s">
        <v>154</v>
      </c>
      <c r="C43" s="35" t="s">
        <v>177</v>
      </c>
      <c r="D43" s="205">
        <f>'P25'!D43</f>
        <v>0</v>
      </c>
      <c r="E43" s="675"/>
      <c r="F43" s="675"/>
      <c r="G43" s="675"/>
      <c r="H43" s="206">
        <f t="shared" si="3"/>
        <v>0</v>
      </c>
      <c r="I43" s="207">
        <f t="shared" si="6"/>
        <v>0</v>
      </c>
      <c r="J43" s="138" t="str">
        <f t="shared" si="7"/>
        <v/>
      </c>
      <c r="K43" s="138" t="str">
        <f t="shared" si="8"/>
        <v/>
      </c>
      <c r="N43" s="51" t="str">
        <f>IF('P25'!AE43=0,"",'P25'!AE43)</f>
        <v>zelená hmota</v>
      </c>
      <c r="O43" s="32">
        <f>IF('P25'!AF43=0,0,'P25'!AF43)</f>
        <v>0.35</v>
      </c>
      <c r="P43" s="201">
        <f>IF('P25'!AG43=0,0,'P25'!AG43)</f>
        <v>4.4000000000000004</v>
      </c>
      <c r="Q43" s="201">
        <f>IF('P25'!AH43=0,0,'P25'!AH43)</f>
        <v>0.7</v>
      </c>
      <c r="R43" s="201">
        <f>IF('P25'!AI43=0,0,'P25'!AI43)</f>
        <v>4</v>
      </c>
      <c r="S43" s="141"/>
      <c r="T43" s="139">
        <f t="shared" si="9"/>
        <v>0</v>
      </c>
      <c r="U43" s="140">
        <f t="shared" si="10"/>
        <v>0</v>
      </c>
      <c r="V43" s="141"/>
      <c r="W43" s="141"/>
      <c r="X43" s="141"/>
    </row>
    <row r="44" spans="2:24" s="5" customFormat="1" ht="14.25" customHeight="1" x14ac:dyDescent="0.25">
      <c r="B44" s="158" t="s">
        <v>442</v>
      </c>
      <c r="C44" s="35" t="s">
        <v>205</v>
      </c>
      <c r="D44" s="205">
        <f>'P25'!D44</f>
        <v>0</v>
      </c>
      <c r="E44" s="675"/>
      <c r="F44" s="675"/>
      <c r="G44" s="675"/>
      <c r="H44" s="206">
        <f t="shared" si="3"/>
        <v>0</v>
      </c>
      <c r="I44" s="207">
        <f t="shared" si="6"/>
        <v>0</v>
      </c>
      <c r="J44" s="138" t="str">
        <f t="shared" si="7"/>
        <v/>
      </c>
      <c r="K44" s="138" t="str">
        <f t="shared" si="8"/>
        <v/>
      </c>
      <c r="N44" s="51" t="str">
        <f>IF('P25'!AE44=0,"",'P25'!AE44)</f>
        <v>zelená hmota</v>
      </c>
      <c r="O44" s="32">
        <f>IF('P25'!AF44=0,0,'P25'!AF44)</f>
        <v>0.17</v>
      </c>
      <c r="P44" s="201">
        <f>IF('P25'!AG44=0,0,'P25'!AG44)</f>
        <v>4.4000000000000004</v>
      </c>
      <c r="Q44" s="201">
        <f>IF('P25'!AH44=0,0,'P25'!AH44)</f>
        <v>0.6</v>
      </c>
      <c r="R44" s="201">
        <f>IF('P25'!AI44=0,0,'P25'!AI44)</f>
        <v>4.7</v>
      </c>
      <c r="S44" s="141"/>
      <c r="T44" s="139">
        <f t="shared" si="9"/>
        <v>0</v>
      </c>
      <c r="U44" s="140">
        <f t="shared" si="10"/>
        <v>0</v>
      </c>
      <c r="V44" s="141"/>
      <c r="W44" s="141"/>
      <c r="X44" s="141"/>
    </row>
    <row r="45" spans="2:24" s="5" customFormat="1" ht="14.25" customHeight="1" x14ac:dyDescent="0.25">
      <c r="B45" s="158" t="s">
        <v>155</v>
      </c>
      <c r="C45" s="35" t="s">
        <v>205</v>
      </c>
      <c r="D45" s="205">
        <f>'P25'!D45</f>
        <v>0</v>
      </c>
      <c r="E45" s="675"/>
      <c r="F45" s="675"/>
      <c r="G45" s="675"/>
      <c r="H45" s="206">
        <f t="shared" si="3"/>
        <v>0</v>
      </c>
      <c r="I45" s="207">
        <f t="shared" si="6"/>
        <v>0</v>
      </c>
      <c r="J45" s="138" t="str">
        <f t="shared" si="7"/>
        <v/>
      </c>
      <c r="K45" s="138" t="str">
        <f t="shared" si="8"/>
        <v/>
      </c>
      <c r="N45" s="51" t="str">
        <f>IF('P25'!AE45=0,"",'P25'!AE45)</f>
        <v>zelená hmota</v>
      </c>
      <c r="O45" s="32">
        <f>IF('P25'!AF45=0,0,'P25'!AF45)</f>
        <v>0.17</v>
      </c>
      <c r="P45" s="201">
        <f>IF('P25'!AG45=0,0,'P25'!AG45)</f>
        <v>4.5999999999999996</v>
      </c>
      <c r="Q45" s="201">
        <f>IF('P25'!AH45=0,0,'P25'!AH45)</f>
        <v>0.6</v>
      </c>
      <c r="R45" s="201">
        <f>IF('P25'!AI45=0,0,'P25'!AI45)</f>
        <v>3.7</v>
      </c>
      <c r="S45" s="141"/>
      <c r="T45" s="139">
        <f t="shared" si="9"/>
        <v>0</v>
      </c>
      <c r="U45" s="140">
        <f t="shared" si="10"/>
        <v>0</v>
      </c>
      <c r="V45" s="141"/>
      <c r="W45" s="141"/>
      <c r="X45" s="141"/>
    </row>
    <row r="46" spans="2:24" s="5" customFormat="1" ht="14.25" customHeight="1" x14ac:dyDescent="0.25">
      <c r="B46" s="158" t="s">
        <v>156</v>
      </c>
      <c r="C46" s="35" t="s">
        <v>205</v>
      </c>
      <c r="D46" s="205">
        <f>'P25'!D46</f>
        <v>0</v>
      </c>
      <c r="E46" s="675"/>
      <c r="F46" s="675"/>
      <c r="G46" s="675"/>
      <c r="H46" s="206">
        <f t="shared" si="3"/>
        <v>0</v>
      </c>
      <c r="I46" s="207">
        <f t="shared" si="6"/>
        <v>0</v>
      </c>
      <c r="J46" s="138" t="str">
        <f t="shared" si="7"/>
        <v/>
      </c>
      <c r="K46" s="138" t="str">
        <f t="shared" si="8"/>
        <v/>
      </c>
      <c r="N46" s="51" t="str">
        <f>IF('P25'!AE46=0,"",'P25'!AE46)</f>
        <v>zelená hmota</v>
      </c>
      <c r="O46" s="32">
        <f>IF('P25'!AF46=0,0,'P25'!AF46)</f>
        <v>0.17</v>
      </c>
      <c r="P46" s="201">
        <f>IF('P25'!AG46=0,0,'P25'!AG46)</f>
        <v>3.8</v>
      </c>
      <c r="Q46" s="201">
        <f>IF('P25'!AH46=0,0,'P25'!AH46)</f>
        <v>0.5</v>
      </c>
      <c r="R46" s="201">
        <f>IF('P25'!AI46=0,0,'P25'!AI46)</f>
        <v>3.3</v>
      </c>
      <c r="S46" s="141"/>
      <c r="T46" s="139">
        <f t="shared" si="9"/>
        <v>0</v>
      </c>
      <c r="U46" s="140">
        <f t="shared" si="10"/>
        <v>0</v>
      </c>
      <c r="V46" s="141"/>
      <c r="W46" s="141"/>
      <c r="X46" s="141"/>
    </row>
    <row r="47" spans="2:24" s="5" customFormat="1" ht="14.25" customHeight="1" x14ac:dyDescent="0.25">
      <c r="B47" s="158" t="s">
        <v>148</v>
      </c>
      <c r="C47" s="35" t="s">
        <v>205</v>
      </c>
      <c r="D47" s="205">
        <f>'P25'!D47</f>
        <v>0</v>
      </c>
      <c r="E47" s="675"/>
      <c r="F47" s="675"/>
      <c r="G47" s="675"/>
      <c r="H47" s="206">
        <f t="shared" si="3"/>
        <v>0</v>
      </c>
      <c r="I47" s="207">
        <f t="shared" si="6"/>
        <v>0</v>
      </c>
      <c r="J47" s="138" t="str">
        <f t="shared" si="7"/>
        <v/>
      </c>
      <c r="K47" s="138" t="str">
        <f t="shared" si="8"/>
        <v/>
      </c>
      <c r="N47" s="51" t="str">
        <f>IF('P25'!AE47=0,"",'P25'!AE47)</f>
        <v>zelená hmota</v>
      </c>
      <c r="O47" s="32">
        <f>IF('P25'!AF47=0,0,'P25'!AF47)</f>
        <v>0.17</v>
      </c>
      <c r="P47" s="201">
        <f>IF('P25'!AG47=0,0,'P25'!AG47)</f>
        <v>4</v>
      </c>
      <c r="Q47" s="201">
        <f>IF('P25'!AH47=0,0,'P25'!AH47)</f>
        <v>0.6</v>
      </c>
      <c r="R47" s="201">
        <f>IF('P25'!AI47=0,0,'P25'!AI47)</f>
        <v>4.5</v>
      </c>
      <c r="S47" s="141"/>
      <c r="T47" s="139">
        <f t="shared" si="9"/>
        <v>0</v>
      </c>
      <c r="U47" s="140">
        <f t="shared" si="10"/>
        <v>0</v>
      </c>
      <c r="V47" s="141"/>
      <c r="W47" s="141"/>
      <c r="X47" s="141"/>
    </row>
    <row r="48" spans="2:24" s="5" customFormat="1" ht="14.25" customHeight="1" x14ac:dyDescent="0.25">
      <c r="B48" s="158" t="s">
        <v>157</v>
      </c>
      <c r="C48" s="35" t="s">
        <v>205</v>
      </c>
      <c r="D48" s="205">
        <f>'P25'!D48</f>
        <v>0</v>
      </c>
      <c r="E48" s="675"/>
      <c r="F48" s="675"/>
      <c r="G48" s="675"/>
      <c r="H48" s="206">
        <f t="shared" si="3"/>
        <v>0</v>
      </c>
      <c r="I48" s="207">
        <f t="shared" si="6"/>
        <v>0</v>
      </c>
      <c r="J48" s="138" t="str">
        <f t="shared" si="7"/>
        <v/>
      </c>
      <c r="K48" s="138" t="str">
        <f t="shared" si="8"/>
        <v/>
      </c>
      <c r="N48" s="51" t="str">
        <f>IF('P25'!AE48=0,"",'P25'!AE48)</f>
        <v>zelená hmota</v>
      </c>
      <c r="O48" s="32">
        <f>IF('P25'!AF48=0,0,'P25'!AF48)</f>
        <v>0.17</v>
      </c>
      <c r="P48" s="201">
        <f>IF('P25'!AG48=0,0,'P25'!AG48)</f>
        <v>4.7</v>
      </c>
      <c r="Q48" s="201">
        <f>IF('P25'!AH48=0,0,'P25'!AH48)</f>
        <v>0.5</v>
      </c>
      <c r="R48" s="201">
        <f>IF('P25'!AI48=0,0,'P25'!AI48)</f>
        <v>4.2</v>
      </c>
      <c r="S48" s="141"/>
      <c r="T48" s="139">
        <f t="shared" si="9"/>
        <v>0</v>
      </c>
      <c r="U48" s="140">
        <f t="shared" si="10"/>
        <v>0</v>
      </c>
      <c r="V48" s="141"/>
      <c r="W48" s="141"/>
      <c r="X48" s="141"/>
    </row>
    <row r="49" spans="2:24" s="5" customFormat="1" ht="14.25" customHeight="1" x14ac:dyDescent="0.25">
      <c r="B49" s="158" t="s">
        <v>166</v>
      </c>
      <c r="C49" s="35" t="s">
        <v>205</v>
      </c>
      <c r="D49" s="205">
        <f>'P25'!D49</f>
        <v>0</v>
      </c>
      <c r="E49" s="675"/>
      <c r="F49" s="675"/>
      <c r="G49" s="675"/>
      <c r="H49" s="206">
        <f t="shared" si="3"/>
        <v>0</v>
      </c>
      <c r="I49" s="207">
        <f t="shared" si="6"/>
        <v>0</v>
      </c>
      <c r="J49" s="138" t="str">
        <f t="shared" si="7"/>
        <v/>
      </c>
      <c r="K49" s="138" t="str">
        <f t="shared" si="8"/>
        <v/>
      </c>
      <c r="N49" s="51" t="str">
        <f>IF('P25'!AE49=0,"",'P25'!AE49)</f>
        <v>zelená hmota</v>
      </c>
      <c r="O49" s="32">
        <f>IF('P25'!AF49=0,0,'P25'!AF49)</f>
        <v>0.17</v>
      </c>
      <c r="P49" s="201">
        <f>IF('P25'!AG49=0,0,'P25'!AG49)</f>
        <v>4</v>
      </c>
      <c r="Q49" s="201">
        <f>IF('P25'!AH49=0,0,'P25'!AH49)</f>
        <v>0.7</v>
      </c>
      <c r="R49" s="201">
        <f>IF('P25'!AI49=0,0,'P25'!AI49)</f>
        <v>4.0999999999999996</v>
      </c>
      <c r="S49" s="141"/>
      <c r="T49" s="139">
        <f t="shared" si="9"/>
        <v>0</v>
      </c>
      <c r="U49" s="140">
        <f t="shared" si="10"/>
        <v>0</v>
      </c>
      <c r="V49" s="141"/>
      <c r="W49" s="141"/>
      <c r="X49" s="141"/>
    </row>
    <row r="50" spans="2:24" s="5" customFormat="1" ht="14.25" customHeight="1" x14ac:dyDescent="0.25">
      <c r="B50" s="158" t="s">
        <v>158</v>
      </c>
      <c r="C50" s="35" t="s">
        <v>205</v>
      </c>
      <c r="D50" s="205">
        <f>'P25'!D50</f>
        <v>0</v>
      </c>
      <c r="E50" s="675"/>
      <c r="F50" s="675"/>
      <c r="G50" s="675"/>
      <c r="H50" s="206">
        <f t="shared" si="3"/>
        <v>0</v>
      </c>
      <c r="I50" s="207">
        <f t="shared" si="6"/>
        <v>0</v>
      </c>
      <c r="J50" s="138" t="str">
        <f t="shared" si="7"/>
        <v/>
      </c>
      <c r="K50" s="138" t="str">
        <f t="shared" si="8"/>
        <v/>
      </c>
      <c r="N50" s="51" t="str">
        <f>IF('P25'!AE50=0,"",'P25'!AE50)</f>
        <v>zelená hmota</v>
      </c>
      <c r="O50" s="32">
        <f>IF('P25'!AF50=0,0,'P25'!AF50)</f>
        <v>0.17</v>
      </c>
      <c r="P50" s="201">
        <f>IF('P25'!AG50=0,0,'P25'!AG50)</f>
        <v>4.8</v>
      </c>
      <c r="Q50" s="201">
        <f>IF('P25'!AH50=0,0,'P25'!AH50)</f>
        <v>0.6</v>
      </c>
      <c r="R50" s="201">
        <f>IF('P25'!AI50=0,0,'P25'!AI50)</f>
        <v>5.7</v>
      </c>
      <c r="S50" s="141"/>
      <c r="T50" s="139">
        <f t="shared" si="9"/>
        <v>0</v>
      </c>
      <c r="U50" s="140">
        <f t="shared" si="10"/>
        <v>0</v>
      </c>
      <c r="V50" s="141"/>
      <c r="W50" s="141"/>
      <c r="X50" s="141"/>
    </row>
    <row r="51" spans="2:24" s="5" customFormat="1" ht="14.25" customHeight="1" x14ac:dyDescent="0.25">
      <c r="B51" s="158" t="s">
        <v>159</v>
      </c>
      <c r="C51" s="35" t="s">
        <v>205</v>
      </c>
      <c r="D51" s="205">
        <f>'P25'!D51</f>
        <v>0</v>
      </c>
      <c r="E51" s="675"/>
      <c r="F51" s="675"/>
      <c r="G51" s="675"/>
      <c r="H51" s="206">
        <f t="shared" si="3"/>
        <v>0</v>
      </c>
      <c r="I51" s="207">
        <f t="shared" si="6"/>
        <v>0</v>
      </c>
      <c r="J51" s="138" t="str">
        <f t="shared" si="7"/>
        <v/>
      </c>
      <c r="K51" s="138" t="str">
        <f t="shared" si="8"/>
        <v/>
      </c>
      <c r="N51" s="51" t="str">
        <f>IF('P25'!AE51=0,"",'P25'!AE51)</f>
        <v>zelená hmota</v>
      </c>
      <c r="O51" s="32">
        <f>IF('P25'!AF51=0,0,'P25'!AF51)</f>
        <v>0.17</v>
      </c>
      <c r="P51" s="201">
        <f>IF('P25'!AG51=0,0,'P25'!AG51)</f>
        <v>5.0999999999999996</v>
      </c>
      <c r="Q51" s="201">
        <f>IF('P25'!AH51=0,0,'P25'!AH51)</f>
        <v>0.7</v>
      </c>
      <c r="R51" s="201">
        <f>IF('P25'!AI51=0,0,'P25'!AI51)</f>
        <v>5.4</v>
      </c>
      <c r="S51" s="141"/>
      <c r="T51" s="139">
        <f t="shared" si="9"/>
        <v>0</v>
      </c>
      <c r="U51" s="140">
        <f t="shared" si="10"/>
        <v>0</v>
      </c>
      <c r="V51" s="141"/>
      <c r="W51" s="141"/>
      <c r="X51" s="141"/>
    </row>
    <row r="52" spans="2:24" s="5" customFormat="1" ht="14.25" customHeight="1" x14ac:dyDescent="0.25">
      <c r="B52" s="158" t="s">
        <v>160</v>
      </c>
      <c r="C52" s="35" t="s">
        <v>205</v>
      </c>
      <c r="D52" s="205">
        <f>'P25'!D52</f>
        <v>0</v>
      </c>
      <c r="E52" s="675"/>
      <c r="F52" s="675"/>
      <c r="G52" s="675"/>
      <c r="H52" s="206">
        <f t="shared" si="3"/>
        <v>0</v>
      </c>
      <c r="I52" s="207">
        <f t="shared" si="6"/>
        <v>0</v>
      </c>
      <c r="J52" s="138" t="str">
        <f t="shared" si="7"/>
        <v/>
      </c>
      <c r="K52" s="138" t="str">
        <f t="shared" si="8"/>
        <v/>
      </c>
      <c r="N52" s="51" t="str">
        <f>IF('P25'!AE52=0,"",'P25'!AE52)</f>
        <v>zelená hmota</v>
      </c>
      <c r="O52" s="32">
        <f>IF('P25'!AF52=0,0,'P25'!AF52)</f>
        <v>0.17</v>
      </c>
      <c r="P52" s="201">
        <f>IF('P25'!AG52=0,0,'P25'!AG52)</f>
        <v>5.7</v>
      </c>
      <c r="Q52" s="201">
        <f>IF('P25'!AH52=0,0,'P25'!AH52)</f>
        <v>0.4</v>
      </c>
      <c r="R52" s="201">
        <f>IF('P25'!AI52=0,0,'P25'!AI52)</f>
        <v>4</v>
      </c>
      <c r="S52" s="141"/>
      <c r="T52" s="139">
        <f t="shared" si="9"/>
        <v>0</v>
      </c>
      <c r="U52" s="140">
        <f t="shared" si="10"/>
        <v>0</v>
      </c>
      <c r="V52" s="141"/>
      <c r="W52" s="141"/>
      <c r="X52" s="141"/>
    </row>
    <row r="53" spans="2:24" s="5" customFormat="1" ht="14.25" customHeight="1" x14ac:dyDescent="0.25">
      <c r="B53" s="158" t="s">
        <v>144</v>
      </c>
      <c r="C53" s="35" t="s">
        <v>205</v>
      </c>
      <c r="D53" s="205">
        <f>'P25'!D53</f>
        <v>0</v>
      </c>
      <c r="E53" s="675"/>
      <c r="F53" s="675"/>
      <c r="G53" s="675"/>
      <c r="H53" s="206">
        <f t="shared" si="3"/>
        <v>0</v>
      </c>
      <c r="I53" s="207">
        <f t="shared" si="6"/>
        <v>0</v>
      </c>
      <c r="J53" s="138" t="str">
        <f t="shared" si="7"/>
        <v/>
      </c>
      <c r="K53" s="138" t="str">
        <f t="shared" si="8"/>
        <v/>
      </c>
      <c r="N53" s="51" t="str">
        <f>IF('P25'!AE53=0,"",'P25'!AE53)</f>
        <v>zelená hmota</v>
      </c>
      <c r="O53" s="32">
        <f>IF('P25'!AF53=0,0,'P25'!AF53)</f>
        <v>0.17</v>
      </c>
      <c r="P53" s="201">
        <f>IF('P25'!AG53=0,0,'P25'!AG53)</f>
        <v>4</v>
      </c>
      <c r="Q53" s="201">
        <f>IF('P25'!AH53=0,0,'P25'!AH53)</f>
        <v>0.6</v>
      </c>
      <c r="R53" s="201">
        <f>IF('P25'!AI53=0,0,'P25'!AI53)</f>
        <v>4.5</v>
      </c>
      <c r="S53" s="141"/>
      <c r="T53" s="139">
        <f t="shared" si="9"/>
        <v>0</v>
      </c>
      <c r="U53" s="140">
        <f t="shared" si="10"/>
        <v>0</v>
      </c>
      <c r="V53" s="141"/>
      <c r="W53" s="141"/>
      <c r="X53" s="141"/>
    </row>
    <row r="54" spans="2:24" s="5" customFormat="1" ht="14.25" customHeight="1" x14ac:dyDescent="0.25">
      <c r="B54" s="158" t="s">
        <v>173</v>
      </c>
      <c r="C54" s="35" t="s">
        <v>234</v>
      </c>
      <c r="D54" s="205">
        <f>'P25'!D54</f>
        <v>0</v>
      </c>
      <c r="E54" s="675"/>
      <c r="F54" s="675"/>
      <c r="G54" s="675"/>
      <c r="H54" s="206">
        <f t="shared" si="3"/>
        <v>0</v>
      </c>
      <c r="I54" s="207">
        <f t="shared" si="6"/>
        <v>0</v>
      </c>
      <c r="J54" s="138" t="str">
        <f t="shared" si="7"/>
        <v/>
      </c>
      <c r="K54" s="138" t="str">
        <f t="shared" si="8"/>
        <v/>
      </c>
      <c r="N54" s="51" t="str">
        <f>IF('P25'!AE54=0,"",'P25'!AE54)</f>
        <v>seno</v>
      </c>
      <c r="O54" s="32">
        <f>IF('P25'!AF54=0,0,'P25'!AF54)</f>
        <v>0.85</v>
      </c>
      <c r="P54" s="201">
        <f>IF('P25'!AG54=0,0,'P25'!AG54)</f>
        <v>24.1</v>
      </c>
      <c r="Q54" s="201">
        <f>IF('P25'!AH54=0,0,'P25'!AH54)</f>
        <v>2</v>
      </c>
      <c r="R54" s="201">
        <f>IF('P25'!AI54=0,0,'P25'!AI54)</f>
        <v>17.899999999999999</v>
      </c>
      <c r="S54" s="141"/>
      <c r="T54" s="139">
        <f t="shared" si="9"/>
        <v>0</v>
      </c>
      <c r="U54" s="140">
        <f t="shared" si="10"/>
        <v>0</v>
      </c>
      <c r="V54" s="141"/>
      <c r="W54" s="141"/>
      <c r="X54" s="141"/>
    </row>
    <row r="55" spans="2:24" s="5" customFormat="1" ht="14.25" customHeight="1" x14ac:dyDescent="0.25">
      <c r="B55" s="158" t="s">
        <v>174</v>
      </c>
      <c r="C55" s="35" t="s">
        <v>234</v>
      </c>
      <c r="D55" s="205">
        <f>'P25'!D55</f>
        <v>0</v>
      </c>
      <c r="E55" s="675"/>
      <c r="F55" s="675"/>
      <c r="G55" s="675"/>
      <c r="H55" s="206">
        <f t="shared" si="3"/>
        <v>0</v>
      </c>
      <c r="I55" s="207">
        <f t="shared" si="6"/>
        <v>0</v>
      </c>
      <c r="J55" s="138" t="str">
        <f t="shared" si="7"/>
        <v/>
      </c>
      <c r="K55" s="138" t="str">
        <f t="shared" si="8"/>
        <v/>
      </c>
      <c r="N55" s="51" t="str">
        <f>IF('P25'!AE55=0,"",'P25'!AE55)</f>
        <v>seno</v>
      </c>
      <c r="O55" s="32">
        <f>IF('P25'!AF55=0,0,'P25'!AF55)</f>
        <v>0.85</v>
      </c>
      <c r="P55" s="201">
        <f>IF('P25'!AG55=0,0,'P25'!AG55)</f>
        <v>28.3</v>
      </c>
      <c r="Q55" s="201">
        <f>IF('P25'!AH55=0,0,'P25'!AH55)</f>
        <v>2.2999999999999998</v>
      </c>
      <c r="R55" s="201">
        <f>IF('P25'!AI55=0,0,'P25'!AI55)</f>
        <v>18.2</v>
      </c>
      <c r="S55" s="141"/>
      <c r="T55" s="139">
        <f t="shared" si="9"/>
        <v>0</v>
      </c>
      <c r="U55" s="140">
        <f t="shared" si="10"/>
        <v>0</v>
      </c>
      <c r="V55" s="141"/>
      <c r="W55" s="141"/>
      <c r="X55" s="141"/>
    </row>
    <row r="56" spans="2:24" s="5" customFormat="1" ht="14.25" customHeight="1" x14ac:dyDescent="0.25">
      <c r="B56" s="158" t="s">
        <v>187</v>
      </c>
      <c r="C56" s="35" t="s">
        <v>234</v>
      </c>
      <c r="D56" s="205">
        <f>'P25'!D56</f>
        <v>0</v>
      </c>
      <c r="E56" s="675"/>
      <c r="F56" s="675"/>
      <c r="G56" s="675"/>
      <c r="H56" s="206">
        <f t="shared" si="3"/>
        <v>0</v>
      </c>
      <c r="I56" s="207">
        <f t="shared" si="6"/>
        <v>0</v>
      </c>
      <c r="J56" s="138" t="str">
        <f t="shared" si="7"/>
        <v/>
      </c>
      <c r="K56" s="138" t="str">
        <f t="shared" si="8"/>
        <v/>
      </c>
      <c r="N56" s="51" t="str">
        <f>IF('P25'!AE56=0,"",'P25'!AE56)</f>
        <v>seno</v>
      </c>
      <c r="O56" s="32">
        <f>IF('P25'!AF56=0,0,'P25'!AF56)</f>
        <v>0.85</v>
      </c>
      <c r="P56" s="201">
        <f>IF('P25'!AG56=0,0,'P25'!AG56)</f>
        <v>28.3</v>
      </c>
      <c r="Q56" s="201">
        <f>IF('P25'!AH56=0,0,'P25'!AH56)</f>
        <v>2.2999999999999998</v>
      </c>
      <c r="R56" s="201">
        <f>IF('P25'!AI56=0,0,'P25'!AI56)</f>
        <v>18.2</v>
      </c>
      <c r="S56" s="141"/>
      <c r="T56" s="139">
        <f t="shared" si="9"/>
        <v>0</v>
      </c>
      <c r="U56" s="140">
        <f t="shared" si="10"/>
        <v>0</v>
      </c>
      <c r="V56" s="141"/>
      <c r="W56" s="141"/>
      <c r="X56" s="141"/>
    </row>
    <row r="57" spans="2:24" s="101" customFormat="1" ht="14.25" customHeight="1" x14ac:dyDescent="0.25">
      <c r="B57" s="159" t="s">
        <v>146</v>
      </c>
      <c r="C57" s="36"/>
      <c r="D57" s="205">
        <f>'P25'!D57</f>
        <v>0</v>
      </c>
      <c r="E57" s="675"/>
      <c r="F57" s="676"/>
      <c r="G57" s="676"/>
      <c r="H57" s="206">
        <f t="shared" si="3"/>
        <v>0</v>
      </c>
      <c r="I57" s="207">
        <f t="shared" si="6"/>
        <v>0</v>
      </c>
      <c r="J57" s="138" t="str">
        <f t="shared" si="7"/>
        <v/>
      </c>
      <c r="K57" s="138" t="str">
        <f t="shared" si="8"/>
        <v/>
      </c>
      <c r="L57" s="5"/>
      <c r="M57" s="5"/>
      <c r="N57" s="51" t="str">
        <f>IF('P25'!AE57=0,"",'P25'!AE57)</f>
        <v>semeno</v>
      </c>
      <c r="O57" s="32">
        <f>IF('P25'!AF57=0,0,'P25'!AF57)</f>
        <v>0.91</v>
      </c>
      <c r="P57" s="201">
        <f>IF('P25'!AG57=0,0,'P25'!AG57)</f>
        <v>55</v>
      </c>
      <c r="Q57" s="201">
        <f>IF('P25'!AH57=0,0,'P25'!AH57)</f>
        <v>6.4</v>
      </c>
      <c r="R57" s="201">
        <f>IF('P25'!AI57=0,0,'P25'!AI57)</f>
        <v>5.8</v>
      </c>
      <c r="S57" s="142"/>
      <c r="T57" s="139">
        <f t="shared" si="9"/>
        <v>0</v>
      </c>
      <c r="U57" s="140">
        <f t="shared" si="10"/>
        <v>0</v>
      </c>
      <c r="V57" s="142"/>
      <c r="W57" s="142"/>
      <c r="X57" s="142"/>
    </row>
    <row r="58" spans="2:24" s="5" customFormat="1" ht="14.25" customHeight="1" x14ac:dyDescent="0.25">
      <c r="B58" s="158" t="s">
        <v>77</v>
      </c>
      <c r="C58" s="35" t="s">
        <v>234</v>
      </c>
      <c r="D58" s="205">
        <f>'P25'!D58</f>
        <v>0</v>
      </c>
      <c r="E58" s="675"/>
      <c r="F58" s="675"/>
      <c r="G58" s="675"/>
      <c r="H58" s="206">
        <f t="shared" si="3"/>
        <v>0</v>
      </c>
      <c r="I58" s="207">
        <f t="shared" si="6"/>
        <v>0</v>
      </c>
      <c r="J58" s="138" t="str">
        <f t="shared" si="7"/>
        <v/>
      </c>
      <c r="K58" s="138" t="str">
        <f t="shared" si="8"/>
        <v/>
      </c>
      <c r="N58" s="51" t="str">
        <f>IF('P25'!AE58=0,"",'P25'!AE58)</f>
        <v>seno</v>
      </c>
      <c r="O58" s="32">
        <f>IF('P25'!AF58=0,0,'P25'!AF58)</f>
        <v>0.85</v>
      </c>
      <c r="P58" s="201">
        <f>IF('P25'!AG58=0,0,'P25'!AG58)</f>
        <v>21.8</v>
      </c>
      <c r="Q58" s="201">
        <f>IF('P25'!AH58=0,0,'P25'!AH58)</f>
        <v>2</v>
      </c>
      <c r="R58" s="201">
        <f>IF('P25'!AI58=0,0,'P25'!AI58)</f>
        <v>19</v>
      </c>
      <c r="S58" s="141"/>
      <c r="T58" s="139">
        <f t="shared" si="9"/>
        <v>0</v>
      </c>
      <c r="U58" s="140">
        <f t="shared" si="10"/>
        <v>0</v>
      </c>
      <c r="V58" s="141"/>
      <c r="W58" s="141"/>
      <c r="X58" s="141"/>
    </row>
    <row r="59" spans="2:24" s="5" customFormat="1" ht="14.25" customHeight="1" x14ac:dyDescent="0.25">
      <c r="B59" s="158" t="s">
        <v>78</v>
      </c>
      <c r="C59" s="35" t="s">
        <v>234</v>
      </c>
      <c r="D59" s="205">
        <f>'P25'!D59</f>
        <v>0</v>
      </c>
      <c r="E59" s="675"/>
      <c r="F59" s="675"/>
      <c r="G59" s="675"/>
      <c r="H59" s="206">
        <f t="shared" si="3"/>
        <v>0</v>
      </c>
      <c r="I59" s="207">
        <f t="shared" si="6"/>
        <v>0</v>
      </c>
      <c r="J59" s="138" t="str">
        <f t="shared" si="7"/>
        <v/>
      </c>
      <c r="K59" s="138" t="str">
        <f t="shared" si="8"/>
        <v/>
      </c>
      <c r="N59" s="51" t="str">
        <f>IF('P25'!AE59=0,"",'P25'!AE59)</f>
        <v>seno</v>
      </c>
      <c r="O59" s="32">
        <f>IF('P25'!AF59=0,0,'P25'!AF59)</f>
        <v>0.85</v>
      </c>
      <c r="P59" s="201">
        <f>IF('P25'!AG59=0,0,'P25'!AG59)</f>
        <v>21.1</v>
      </c>
      <c r="Q59" s="201">
        <f>IF('P25'!AH59=0,0,'P25'!AH59)</f>
        <v>2.8</v>
      </c>
      <c r="R59" s="201">
        <f>IF('P25'!AI59=0,0,'P25'!AI59)</f>
        <v>19.8</v>
      </c>
      <c r="S59" s="141"/>
      <c r="T59" s="139">
        <f t="shared" si="9"/>
        <v>0</v>
      </c>
      <c r="U59" s="140">
        <f t="shared" si="10"/>
        <v>0</v>
      </c>
      <c r="V59" s="141"/>
      <c r="W59" s="141"/>
      <c r="X59" s="141"/>
    </row>
    <row r="60" spans="2:24" s="5" customFormat="1" ht="14.25" customHeight="1" x14ac:dyDescent="0.25">
      <c r="B60" s="158" t="s">
        <v>79</v>
      </c>
      <c r="C60" s="35" t="s">
        <v>234</v>
      </c>
      <c r="D60" s="205">
        <f>'P25'!D60</f>
        <v>0</v>
      </c>
      <c r="E60" s="675"/>
      <c r="F60" s="675"/>
      <c r="G60" s="675"/>
      <c r="H60" s="206">
        <f t="shared" si="3"/>
        <v>0</v>
      </c>
      <c r="I60" s="207">
        <f t="shared" si="6"/>
        <v>0</v>
      </c>
      <c r="J60" s="138" t="str">
        <f t="shared" si="7"/>
        <v/>
      </c>
      <c r="K60" s="138" t="str">
        <f t="shared" si="8"/>
        <v/>
      </c>
      <c r="N60" s="51" t="str">
        <f>IF('P25'!AE60=0,"",'P25'!AE60)</f>
        <v>seno</v>
      </c>
      <c r="O60" s="32">
        <f>IF('P25'!AF60=0,0,'P25'!AF60)</f>
        <v>0.85</v>
      </c>
      <c r="P60" s="201">
        <f>IF('P25'!AG60=0,0,'P25'!AG60)</f>
        <v>20.399999999999999</v>
      </c>
      <c r="Q60" s="201">
        <f>IF('P25'!AH60=0,0,'P25'!AH60)</f>
        <v>3</v>
      </c>
      <c r="R60" s="201">
        <f>IF('P25'!AI60=0,0,'P25'!AI60)</f>
        <v>23</v>
      </c>
      <c r="S60" s="141"/>
      <c r="T60" s="139">
        <f t="shared" si="9"/>
        <v>0</v>
      </c>
      <c r="U60" s="140">
        <f t="shared" si="10"/>
        <v>0</v>
      </c>
      <c r="V60" s="141"/>
      <c r="W60" s="141"/>
      <c r="X60" s="141"/>
    </row>
    <row r="61" spans="2:24" s="5" customFormat="1" ht="14.25" customHeight="1" x14ac:dyDescent="0.25">
      <c r="B61" s="158" t="s">
        <v>186</v>
      </c>
      <c r="C61" s="35" t="s">
        <v>234</v>
      </c>
      <c r="D61" s="205">
        <f>'P25'!D61</f>
        <v>0</v>
      </c>
      <c r="E61" s="675"/>
      <c r="F61" s="675"/>
      <c r="G61" s="675"/>
      <c r="H61" s="206">
        <f t="shared" si="3"/>
        <v>0</v>
      </c>
      <c r="I61" s="207">
        <f t="shared" si="6"/>
        <v>0</v>
      </c>
      <c r="J61" s="138" t="str">
        <f t="shared" si="7"/>
        <v/>
      </c>
      <c r="K61" s="138" t="str">
        <f t="shared" si="8"/>
        <v/>
      </c>
      <c r="N61" s="51" t="str">
        <f>IF('P25'!AE61=0,"",'P25'!AE61)</f>
        <v>seno</v>
      </c>
      <c r="O61" s="32">
        <f>IF('P25'!AF61=0,0,'P25'!AF61)</f>
        <v>0.85</v>
      </c>
      <c r="P61" s="201">
        <f>IF('P25'!AG61=0,0,'P25'!AG61)</f>
        <v>21.7</v>
      </c>
      <c r="Q61" s="201">
        <f>IF('P25'!AH61=0,0,'P25'!AH61)</f>
        <v>2.6</v>
      </c>
      <c r="R61" s="201">
        <f>IF('P25'!AI61=0,0,'P25'!AI61)</f>
        <v>20.8</v>
      </c>
      <c r="S61" s="141"/>
      <c r="T61" s="139">
        <f t="shared" si="9"/>
        <v>0</v>
      </c>
      <c r="U61" s="140">
        <f t="shared" si="10"/>
        <v>0</v>
      </c>
      <c r="V61" s="141"/>
      <c r="W61" s="141"/>
      <c r="X61" s="141"/>
    </row>
    <row r="62" spans="2:24" s="101" customFormat="1" ht="14.25" customHeight="1" x14ac:dyDescent="0.25">
      <c r="B62" s="159" t="s">
        <v>147</v>
      </c>
      <c r="C62" s="36"/>
      <c r="D62" s="205">
        <f>'P25'!D62</f>
        <v>0</v>
      </c>
      <c r="E62" s="675"/>
      <c r="F62" s="676"/>
      <c r="G62" s="676"/>
      <c r="H62" s="206">
        <f t="shared" si="3"/>
        <v>0</v>
      </c>
      <c r="I62" s="207">
        <f t="shared" si="6"/>
        <v>0</v>
      </c>
      <c r="J62" s="138" t="str">
        <f t="shared" si="7"/>
        <v/>
      </c>
      <c r="K62" s="138" t="str">
        <f t="shared" si="8"/>
        <v/>
      </c>
      <c r="L62" s="5"/>
      <c r="M62" s="5"/>
      <c r="N62" s="51" t="str">
        <f>IF('P25'!AE62=0,"",'P25'!AE62)</f>
        <v>semeno</v>
      </c>
      <c r="O62" s="32">
        <f>IF('P25'!AF62=0,0,'P25'!AF62)</f>
        <v>0.91</v>
      </c>
      <c r="P62" s="201">
        <f>IF('P25'!AG62=0,0,'P25'!AG62)</f>
        <v>23.4</v>
      </c>
      <c r="Q62" s="201">
        <f>IF('P25'!AH62=0,0,'P25'!AH62)</f>
        <v>3.6</v>
      </c>
      <c r="R62" s="201">
        <f>IF('P25'!AI62=0,0,'P25'!AI62)</f>
        <v>5.8</v>
      </c>
      <c r="S62" s="142"/>
      <c r="T62" s="139">
        <f t="shared" si="9"/>
        <v>0</v>
      </c>
      <c r="U62" s="140">
        <f t="shared" si="10"/>
        <v>0</v>
      </c>
      <c r="V62" s="142"/>
      <c r="W62" s="142"/>
      <c r="X62" s="142"/>
    </row>
    <row r="63" spans="2:24" s="5" customFormat="1" ht="14.25" customHeight="1" x14ac:dyDescent="0.25">
      <c r="B63" s="158" t="s">
        <v>63</v>
      </c>
      <c r="C63" s="36"/>
      <c r="D63" s="210">
        <f>'P25'!D63</f>
        <v>0</v>
      </c>
      <c r="E63" s="675"/>
      <c r="F63" s="676"/>
      <c r="G63" s="676"/>
      <c r="H63" s="206">
        <f t="shared" si="3"/>
        <v>0</v>
      </c>
      <c r="I63" s="207">
        <f t="shared" si="6"/>
        <v>0</v>
      </c>
      <c r="J63" s="138" t="str">
        <f t="shared" si="7"/>
        <v/>
      </c>
      <c r="K63" s="138" t="str">
        <f t="shared" si="8"/>
        <v/>
      </c>
      <c r="N63" s="51" t="str">
        <f>IF('P25'!AE63=0,"",'P25'!AE63)</f>
        <v/>
      </c>
      <c r="O63" s="32">
        <f>IF('P25'!AF63=0,0,'P25'!AF63)</f>
        <v>0</v>
      </c>
      <c r="P63" s="201">
        <f>IF('P25'!AG63=0,0,'P25'!AG63)</f>
        <v>3</v>
      </c>
      <c r="Q63" s="201">
        <f>IF('P25'!AH63=0,0,'P25'!AH63)</f>
        <v>0.9</v>
      </c>
      <c r="R63" s="201">
        <f>IF('P25'!AI63=0,0,'P25'!AI63)</f>
        <v>5</v>
      </c>
      <c r="S63" s="141"/>
      <c r="T63" s="139">
        <f t="shared" si="9"/>
        <v>0</v>
      </c>
      <c r="U63" s="140">
        <f t="shared" si="10"/>
        <v>0</v>
      </c>
      <c r="V63" s="141"/>
      <c r="W63" s="141"/>
      <c r="X63" s="141"/>
    </row>
    <row r="64" spans="2:24" s="5" customFormat="1" ht="14.25" customHeight="1" x14ac:dyDescent="0.25">
      <c r="B64" s="158" t="s">
        <v>67</v>
      </c>
      <c r="C64" s="36"/>
      <c r="D64" s="210">
        <f>'P25'!D64</f>
        <v>0</v>
      </c>
      <c r="E64" s="675"/>
      <c r="F64" s="676"/>
      <c r="G64" s="676"/>
      <c r="H64" s="206">
        <f t="shared" si="3"/>
        <v>0</v>
      </c>
      <c r="I64" s="207">
        <f t="shared" si="6"/>
        <v>0</v>
      </c>
      <c r="J64" s="138" t="str">
        <f t="shared" si="7"/>
        <v/>
      </c>
      <c r="K64" s="138" t="str">
        <f t="shared" si="8"/>
        <v/>
      </c>
      <c r="N64" s="51" t="str">
        <f>IF('P25'!AE64=0,"",'P25'!AE64)</f>
        <v/>
      </c>
      <c r="O64" s="32">
        <f>IF('P25'!AF64=0,0,'P25'!AF64)</f>
        <v>0</v>
      </c>
      <c r="P64" s="201">
        <f>IF('P25'!AG64=0,0,'P25'!AG64)</f>
        <v>2</v>
      </c>
      <c r="Q64" s="201">
        <f>IF('P25'!AH64=0,0,'P25'!AH64)</f>
        <v>0.4</v>
      </c>
      <c r="R64" s="201">
        <f>IF('P25'!AI64=0,0,'P25'!AI64)</f>
        <v>3.7</v>
      </c>
      <c r="S64" s="141"/>
      <c r="T64" s="139">
        <f t="shared" si="9"/>
        <v>0</v>
      </c>
      <c r="U64" s="140">
        <f t="shared" si="10"/>
        <v>0</v>
      </c>
      <c r="V64" s="141"/>
      <c r="W64" s="141"/>
      <c r="X64" s="141"/>
    </row>
    <row r="65" spans="2:24" s="5" customFormat="1" ht="14.25" customHeight="1" x14ac:dyDescent="0.25">
      <c r="B65" s="158" t="s">
        <v>70</v>
      </c>
      <c r="C65" s="36"/>
      <c r="D65" s="210">
        <f>'P25'!D65</f>
        <v>0</v>
      </c>
      <c r="E65" s="675"/>
      <c r="F65" s="676"/>
      <c r="G65" s="676"/>
      <c r="H65" s="206">
        <f t="shared" si="3"/>
        <v>0</v>
      </c>
      <c r="I65" s="207">
        <f t="shared" si="6"/>
        <v>0</v>
      </c>
      <c r="J65" s="138" t="str">
        <f t="shared" si="7"/>
        <v/>
      </c>
      <c r="K65" s="138" t="str">
        <f t="shared" si="8"/>
        <v/>
      </c>
      <c r="N65" s="51" t="str">
        <f>IF('P25'!AE65=0,"",'P25'!AE65)</f>
        <v/>
      </c>
      <c r="O65" s="32">
        <f>IF('P25'!AF65=0,0,'P25'!AF65)</f>
        <v>0</v>
      </c>
      <c r="P65" s="201">
        <f>IF('P25'!AG65=0,0,'P25'!AG65)</f>
        <v>3</v>
      </c>
      <c r="Q65" s="201">
        <f>IF('P25'!AH65=0,0,'P25'!AH65)</f>
        <v>0.7</v>
      </c>
      <c r="R65" s="201">
        <f>IF('P25'!AI65=0,0,'P25'!AI65)</f>
        <v>4.2</v>
      </c>
      <c r="S65" s="141"/>
      <c r="T65" s="139">
        <f t="shared" si="9"/>
        <v>0</v>
      </c>
      <c r="U65" s="140">
        <f t="shared" si="10"/>
        <v>0</v>
      </c>
      <c r="V65" s="141"/>
      <c r="W65" s="141"/>
      <c r="X65" s="141"/>
    </row>
    <row r="66" spans="2:24" s="5" customFormat="1" ht="14.25" customHeight="1" x14ac:dyDescent="0.25">
      <c r="B66" s="158" t="s">
        <v>62</v>
      </c>
      <c r="C66" s="36"/>
      <c r="D66" s="210">
        <f>'P25'!D66</f>
        <v>0</v>
      </c>
      <c r="E66" s="675"/>
      <c r="F66" s="676"/>
      <c r="G66" s="676"/>
      <c r="H66" s="206">
        <f t="shared" si="3"/>
        <v>0</v>
      </c>
      <c r="I66" s="207">
        <f t="shared" si="6"/>
        <v>0</v>
      </c>
      <c r="J66" s="138" t="str">
        <f t="shared" si="7"/>
        <v/>
      </c>
      <c r="K66" s="138" t="str">
        <f t="shared" si="8"/>
        <v/>
      </c>
      <c r="N66" s="51" t="str">
        <f>IF('P25'!AE66=0,"",'P25'!AE66)</f>
        <v/>
      </c>
      <c r="O66" s="32">
        <f>IF('P25'!AF66=0,0,'P25'!AF66)</f>
        <v>0</v>
      </c>
      <c r="P66" s="201">
        <f>IF('P25'!AG66=0,0,'P25'!AG66)</f>
        <v>2</v>
      </c>
      <c r="Q66" s="201">
        <f>IF('P25'!AH66=0,0,'P25'!AH66)</f>
        <v>0.4</v>
      </c>
      <c r="R66" s="201">
        <f>IF('P25'!AI66=0,0,'P25'!AI66)</f>
        <v>1.7</v>
      </c>
      <c r="S66" s="141"/>
      <c r="T66" s="139">
        <f t="shared" si="9"/>
        <v>0</v>
      </c>
      <c r="U66" s="140">
        <f t="shared" si="10"/>
        <v>0</v>
      </c>
      <c r="V66" s="141"/>
      <c r="W66" s="141"/>
      <c r="X66" s="141"/>
    </row>
    <row r="67" spans="2:24" s="5" customFormat="1" ht="14.25" customHeight="1" x14ac:dyDescent="0.25">
      <c r="B67" s="158" t="s">
        <v>65</v>
      </c>
      <c r="C67" s="36"/>
      <c r="D67" s="210">
        <f>'P25'!D67</f>
        <v>0</v>
      </c>
      <c r="E67" s="675"/>
      <c r="F67" s="676"/>
      <c r="G67" s="676"/>
      <c r="H67" s="206">
        <f t="shared" si="3"/>
        <v>0</v>
      </c>
      <c r="I67" s="207">
        <f t="shared" si="6"/>
        <v>0</v>
      </c>
      <c r="J67" s="138" t="str">
        <f t="shared" si="7"/>
        <v/>
      </c>
      <c r="K67" s="138" t="str">
        <f t="shared" si="8"/>
        <v/>
      </c>
      <c r="N67" s="51" t="str">
        <f>IF('P25'!AE67=0,"",'P25'!AE67)</f>
        <v/>
      </c>
      <c r="O67" s="32">
        <f>IF('P25'!AF67=0,0,'P25'!AF67)</f>
        <v>0</v>
      </c>
      <c r="P67" s="201">
        <f>IF('P25'!AG67=0,0,'P25'!AG67)</f>
        <v>3</v>
      </c>
      <c r="Q67" s="201">
        <f>IF('P25'!AH67=0,0,'P25'!AH67)</f>
        <v>0.4</v>
      </c>
      <c r="R67" s="201">
        <f>IF('P25'!AI67=0,0,'P25'!AI67)</f>
        <v>3.7</v>
      </c>
      <c r="S67" s="141"/>
      <c r="T67" s="139">
        <f t="shared" si="9"/>
        <v>0</v>
      </c>
      <c r="U67" s="140">
        <f t="shared" si="10"/>
        <v>0</v>
      </c>
      <c r="V67" s="141"/>
      <c r="W67" s="141"/>
      <c r="X67" s="141"/>
    </row>
    <row r="68" spans="2:24" s="5" customFormat="1" ht="14.25" customHeight="1" x14ac:dyDescent="0.25">
      <c r="B68" s="158" t="s">
        <v>64</v>
      </c>
      <c r="C68" s="36"/>
      <c r="D68" s="210">
        <f>'P25'!D68</f>
        <v>0</v>
      </c>
      <c r="E68" s="675"/>
      <c r="F68" s="676"/>
      <c r="G68" s="676"/>
      <c r="H68" s="206">
        <f t="shared" si="3"/>
        <v>0</v>
      </c>
      <c r="I68" s="207">
        <f t="shared" si="6"/>
        <v>0</v>
      </c>
      <c r="J68" s="138" t="str">
        <f t="shared" si="7"/>
        <v/>
      </c>
      <c r="K68" s="138" t="str">
        <f t="shared" si="8"/>
        <v/>
      </c>
      <c r="N68" s="51" t="str">
        <f>IF('P25'!AE68=0,"",'P25'!AE68)</f>
        <v/>
      </c>
      <c r="O68" s="32">
        <f>IF('P25'!AF68=0,0,'P25'!AF68)</f>
        <v>0</v>
      </c>
      <c r="P68" s="201">
        <f>IF('P25'!AG68=0,0,'P25'!AG68)</f>
        <v>3.5</v>
      </c>
      <c r="Q68" s="201">
        <f>IF('P25'!AH68=0,0,'P25'!AH68)</f>
        <v>0.5</v>
      </c>
      <c r="R68" s="201">
        <f>IF('P25'!AI68=0,0,'P25'!AI68)</f>
        <v>3.3</v>
      </c>
      <c r="S68" s="141"/>
      <c r="T68" s="139">
        <f t="shared" si="9"/>
        <v>0</v>
      </c>
      <c r="U68" s="140">
        <f t="shared" si="10"/>
        <v>0</v>
      </c>
      <c r="V68" s="141"/>
      <c r="W68" s="141"/>
      <c r="X68" s="141"/>
    </row>
    <row r="69" spans="2:24" s="5" customFormat="1" ht="14.25" customHeight="1" x14ac:dyDescent="0.25">
      <c r="B69" s="158" t="s">
        <v>66</v>
      </c>
      <c r="C69" s="36"/>
      <c r="D69" s="210">
        <f>'P25'!D69</f>
        <v>0</v>
      </c>
      <c r="E69" s="675"/>
      <c r="F69" s="676"/>
      <c r="G69" s="676"/>
      <c r="H69" s="206">
        <f t="shared" si="3"/>
        <v>0</v>
      </c>
      <c r="I69" s="207">
        <f t="shared" si="6"/>
        <v>0</v>
      </c>
      <c r="J69" s="138" t="str">
        <f t="shared" si="7"/>
        <v/>
      </c>
      <c r="K69" s="138" t="str">
        <f t="shared" si="8"/>
        <v/>
      </c>
      <c r="N69" s="51" t="str">
        <f>IF('P25'!AE69=0,"",'P25'!AE69)</f>
        <v/>
      </c>
      <c r="O69" s="32">
        <f>IF('P25'!AF69=0,0,'P25'!AF69)</f>
        <v>0</v>
      </c>
      <c r="P69" s="201">
        <f>IF('P25'!AG69=0,0,'P25'!AG69)</f>
        <v>3.5</v>
      </c>
      <c r="Q69" s="201">
        <f>IF('P25'!AH69=0,0,'P25'!AH69)</f>
        <v>0.5</v>
      </c>
      <c r="R69" s="201">
        <f>IF('P25'!AI69=0,0,'P25'!AI69)</f>
        <v>3.3</v>
      </c>
      <c r="S69" s="141"/>
      <c r="T69" s="139">
        <f t="shared" si="9"/>
        <v>0</v>
      </c>
      <c r="U69" s="140">
        <f t="shared" si="10"/>
        <v>0</v>
      </c>
      <c r="V69" s="141"/>
      <c r="W69" s="141"/>
      <c r="X69" s="141"/>
    </row>
    <row r="70" spans="2:24" s="5" customFormat="1" ht="14.25" customHeight="1" x14ac:dyDescent="0.25">
      <c r="B70" s="158" t="s">
        <v>72</v>
      </c>
      <c r="C70" s="36"/>
      <c r="D70" s="210">
        <f>'P25'!D70</f>
        <v>0</v>
      </c>
      <c r="E70" s="675"/>
      <c r="F70" s="676"/>
      <c r="G70" s="676"/>
      <c r="H70" s="206">
        <f t="shared" si="3"/>
        <v>0</v>
      </c>
      <c r="I70" s="207">
        <f t="shared" si="6"/>
        <v>0</v>
      </c>
      <c r="J70" s="138" t="str">
        <f t="shared" si="7"/>
        <v/>
      </c>
      <c r="K70" s="138" t="str">
        <f t="shared" si="8"/>
        <v/>
      </c>
      <c r="N70" s="51" t="str">
        <f>IF('P25'!AE70=0,"",'P25'!AE70)</f>
        <v/>
      </c>
      <c r="O70" s="32">
        <f>IF('P25'!AF70=0,0,'P25'!AF70)</f>
        <v>0</v>
      </c>
      <c r="P70" s="201">
        <f>IF('P25'!AG70=0,0,'P25'!AG70)</f>
        <v>3</v>
      </c>
      <c r="Q70" s="201">
        <f>IF('P25'!AH70=0,0,'P25'!AH70)</f>
        <v>0.4</v>
      </c>
      <c r="R70" s="201">
        <f>IF('P25'!AI70=0,0,'P25'!AI70)</f>
        <v>2.7</v>
      </c>
      <c r="S70" s="141"/>
      <c r="T70" s="139">
        <f t="shared" si="9"/>
        <v>0</v>
      </c>
      <c r="U70" s="140">
        <f t="shared" si="10"/>
        <v>0</v>
      </c>
      <c r="V70" s="141"/>
      <c r="W70" s="141"/>
      <c r="X70" s="141"/>
    </row>
    <row r="71" spans="2:24" s="5" customFormat="1" ht="14.25" customHeight="1" x14ac:dyDescent="0.25">
      <c r="B71" s="158" t="s">
        <v>68</v>
      </c>
      <c r="C71" s="36"/>
      <c r="D71" s="210">
        <f>'P25'!D71</f>
        <v>0</v>
      </c>
      <c r="E71" s="675"/>
      <c r="F71" s="676"/>
      <c r="G71" s="676"/>
      <c r="H71" s="206">
        <f t="shared" si="3"/>
        <v>0</v>
      </c>
      <c r="I71" s="207">
        <f t="shared" si="6"/>
        <v>0</v>
      </c>
      <c r="J71" s="138" t="str">
        <f t="shared" si="7"/>
        <v/>
      </c>
      <c r="K71" s="138" t="str">
        <f t="shared" si="8"/>
        <v/>
      </c>
      <c r="N71" s="51" t="str">
        <f>IF('P25'!AE71=0,"",'P25'!AE71)</f>
        <v/>
      </c>
      <c r="O71" s="32">
        <f>IF('P25'!AF71=0,0,'P25'!AF71)</f>
        <v>0</v>
      </c>
      <c r="P71" s="201">
        <f>IF('P25'!AG71=0,0,'P25'!AG71)</f>
        <v>2</v>
      </c>
      <c r="Q71" s="201">
        <f>IF('P25'!AH71=0,0,'P25'!AH71)</f>
        <v>0.4</v>
      </c>
      <c r="R71" s="201">
        <f>IF('P25'!AI71=0,0,'P25'!AI71)</f>
        <v>4.2</v>
      </c>
      <c r="S71" s="141"/>
      <c r="T71" s="139">
        <f t="shared" si="9"/>
        <v>0</v>
      </c>
      <c r="U71" s="140">
        <f t="shared" si="10"/>
        <v>0</v>
      </c>
      <c r="V71" s="141"/>
      <c r="W71" s="141"/>
      <c r="X71" s="141"/>
    </row>
    <row r="72" spans="2:24" s="5" customFormat="1" ht="14.25" customHeight="1" x14ac:dyDescent="0.25">
      <c r="B72" s="158" t="s">
        <v>69</v>
      </c>
      <c r="C72" s="36"/>
      <c r="D72" s="210">
        <f>'P25'!D72</f>
        <v>0</v>
      </c>
      <c r="E72" s="675"/>
      <c r="F72" s="676"/>
      <c r="G72" s="676"/>
      <c r="H72" s="206">
        <f t="shared" si="3"/>
        <v>0</v>
      </c>
      <c r="I72" s="207">
        <f t="shared" ref="I72:I78" si="11">IF(E72=0,0,IF((E72-G72)/E72&lt;0.3,0,(E72-G72)*F72*P72/1000))</f>
        <v>0</v>
      </c>
      <c r="J72" s="138" t="str">
        <f t="shared" ref="J72:J78" si="12">IF(T72&lt;0,"!","")</f>
        <v/>
      </c>
      <c r="K72" s="138" t="str">
        <f t="shared" ref="K72:K78" si="13">IF(U72&lt;0,"!","")</f>
        <v/>
      </c>
      <c r="N72" s="51" t="str">
        <f>IF('P25'!AE72=0,"",'P25'!AE72)</f>
        <v/>
      </c>
      <c r="O72" s="32">
        <f>IF('P25'!AF72=0,0,'P25'!AF72)</f>
        <v>0</v>
      </c>
      <c r="P72" s="201">
        <f>IF('P25'!AG72=0,0,'P25'!AG72)</f>
        <v>1.8</v>
      </c>
      <c r="Q72" s="201">
        <f>IF('P25'!AH72=0,0,'P25'!AH72)</f>
        <v>0.3</v>
      </c>
      <c r="R72" s="201">
        <f>IF('P25'!AI72=0,0,'P25'!AI72)</f>
        <v>2.9</v>
      </c>
      <c r="S72" s="141"/>
      <c r="T72" s="139">
        <f t="shared" ref="T72:T78" si="14">D72-F72</f>
        <v>0</v>
      </c>
      <c r="U72" s="140">
        <f t="shared" ref="U72:U78" si="15">E72-G72</f>
        <v>0</v>
      </c>
      <c r="V72" s="141"/>
      <c r="W72" s="141"/>
      <c r="X72" s="141"/>
    </row>
    <row r="73" spans="2:24" s="5" customFormat="1" ht="14.25" customHeight="1" x14ac:dyDescent="0.25">
      <c r="B73" s="158" t="s">
        <v>71</v>
      </c>
      <c r="C73" s="36"/>
      <c r="D73" s="210">
        <f>'P25'!D73</f>
        <v>0</v>
      </c>
      <c r="E73" s="675"/>
      <c r="F73" s="676"/>
      <c r="G73" s="676"/>
      <c r="H73" s="206">
        <f t="shared" si="3"/>
        <v>0</v>
      </c>
      <c r="I73" s="207">
        <f t="shared" si="11"/>
        <v>0</v>
      </c>
      <c r="J73" s="138" t="str">
        <f t="shared" si="12"/>
        <v/>
      </c>
      <c r="K73" s="138" t="str">
        <f t="shared" si="13"/>
        <v/>
      </c>
      <c r="N73" s="51" t="str">
        <f>IF('P25'!AE73=0,"",'P25'!AE73)</f>
        <v/>
      </c>
      <c r="O73" s="32">
        <f>IF('P25'!AF73=0,0,'P25'!AF73)</f>
        <v>0</v>
      </c>
      <c r="P73" s="201">
        <f>IF('P25'!AG73=0,0,'P25'!AG73)</f>
        <v>4</v>
      </c>
      <c r="Q73" s="201">
        <f>IF('P25'!AH73=0,0,'P25'!AH73)</f>
        <v>0.6</v>
      </c>
      <c r="R73" s="201">
        <f>IF('P25'!AI73=0,0,'P25'!AI73)</f>
        <v>5.8</v>
      </c>
      <c r="S73" s="141"/>
      <c r="T73" s="139">
        <f t="shared" si="14"/>
        <v>0</v>
      </c>
      <c r="U73" s="140">
        <f t="shared" si="15"/>
        <v>0</v>
      </c>
      <c r="V73" s="141"/>
      <c r="W73" s="141"/>
      <c r="X73" s="141"/>
    </row>
    <row r="74" spans="2:24" s="5" customFormat="1" ht="14.25" customHeight="1" x14ac:dyDescent="0.25">
      <c r="B74" s="689" t="s">
        <v>162</v>
      </c>
      <c r="C74" s="35" t="s">
        <v>188</v>
      </c>
      <c r="D74" s="210">
        <f>'P25'!D74</f>
        <v>0</v>
      </c>
      <c r="E74" s="675"/>
      <c r="F74" s="676"/>
      <c r="G74" s="676"/>
      <c r="H74" s="206">
        <f t="shared" si="3"/>
        <v>0</v>
      </c>
      <c r="I74" s="207">
        <f t="shared" si="11"/>
        <v>0</v>
      </c>
      <c r="J74" s="138" t="str">
        <f t="shared" si="12"/>
        <v/>
      </c>
      <c r="K74" s="138" t="str">
        <f t="shared" si="13"/>
        <v/>
      </c>
      <c r="N74" s="51" t="str">
        <f>IF('P25'!AE74=0,"",'P25'!AE74)</f>
        <v>zelené zrno</v>
      </c>
      <c r="O74" s="32">
        <f>IF('P25'!AF74=0,0,'P25'!AF74)</f>
        <v>0.15</v>
      </c>
      <c r="P74" s="201">
        <f>IF('P25'!AG74=0,0,'P25'!AG74)</f>
        <v>11</v>
      </c>
      <c r="Q74" s="201">
        <f>IF('P25'!AH74=0,0,'P25'!AH74)</f>
        <v>1.1000000000000001</v>
      </c>
      <c r="R74" s="201">
        <f>IF('P25'!AI74=0,0,'P25'!AI74)</f>
        <v>3.3</v>
      </c>
      <c r="S74" s="141"/>
      <c r="T74" s="139">
        <f t="shared" si="14"/>
        <v>0</v>
      </c>
      <c r="U74" s="140">
        <f t="shared" si="15"/>
        <v>0</v>
      </c>
      <c r="V74" s="141"/>
      <c r="W74" s="141"/>
      <c r="X74" s="141"/>
    </row>
    <row r="75" spans="2:24" s="5" customFormat="1" ht="14.25" customHeight="1" x14ac:dyDescent="0.25">
      <c r="B75" s="690"/>
      <c r="C75" s="35" t="s">
        <v>189</v>
      </c>
      <c r="D75" s="210">
        <f>'P25'!D75</f>
        <v>0</v>
      </c>
      <c r="E75" s="675"/>
      <c r="F75" s="676"/>
      <c r="G75" s="676"/>
      <c r="H75" s="206">
        <f>IF(F75=0,0,IF(E75=0,0,IF((E75-G75)/E75&lt;0,0,(E75-G75)/E75)))</f>
        <v>0</v>
      </c>
      <c r="I75" s="207">
        <f t="shared" si="11"/>
        <v>0</v>
      </c>
      <c r="J75" s="138" t="str">
        <f t="shared" si="12"/>
        <v/>
      </c>
      <c r="K75" s="138" t="str">
        <f t="shared" si="13"/>
        <v/>
      </c>
      <c r="N75" s="51" t="str">
        <f>IF('P25'!AE75=0,"",'P25'!AE75)</f>
        <v>lusky</v>
      </c>
      <c r="O75" s="32">
        <f>IF('P25'!AF75=0,0,'P25'!AF75)</f>
        <v>0.15</v>
      </c>
      <c r="P75" s="201">
        <f>IF('P25'!AG75=0,0,'P25'!AG75)</f>
        <v>5</v>
      </c>
      <c r="Q75" s="201">
        <f>IF('P25'!AH75=0,0,'P25'!AH75)</f>
        <v>0.7</v>
      </c>
      <c r="R75" s="201">
        <f>IF('P25'!AI75=0,0,'P25'!AI75)</f>
        <v>3.3</v>
      </c>
      <c r="S75" s="141"/>
      <c r="T75" s="139">
        <f t="shared" si="14"/>
        <v>0</v>
      </c>
      <c r="U75" s="140">
        <f t="shared" si="15"/>
        <v>0</v>
      </c>
      <c r="V75" s="141"/>
      <c r="W75" s="141"/>
      <c r="X75" s="141"/>
    </row>
    <row r="76" spans="2:24" s="5" customFormat="1" ht="14.25" customHeight="1" x14ac:dyDescent="0.25">
      <c r="B76" s="158" t="s">
        <v>163</v>
      </c>
      <c r="C76" s="36"/>
      <c r="D76" s="210">
        <f>'P25'!D76</f>
        <v>0</v>
      </c>
      <c r="E76" s="675"/>
      <c r="F76" s="676"/>
      <c r="G76" s="676"/>
      <c r="H76" s="206">
        <f>IF(F76=0,0,IF(E76=0,0,IF((E76-G76)/E76&lt;0,0,(E76-G76)/E76)))</f>
        <v>0</v>
      </c>
      <c r="I76" s="207">
        <f t="shared" si="11"/>
        <v>0</v>
      </c>
      <c r="J76" s="138" t="str">
        <f t="shared" si="12"/>
        <v/>
      </c>
      <c r="K76" s="138" t="str">
        <f t="shared" si="13"/>
        <v/>
      </c>
      <c r="N76" s="51" t="str">
        <f>IF('P25'!AE76=0,"",'P25'!AE76)</f>
        <v>lusky</v>
      </c>
      <c r="O76" s="32">
        <f>IF('P25'!AF76=0,0,'P25'!AF76)</f>
        <v>0.12</v>
      </c>
      <c r="P76" s="201">
        <f>IF('P25'!AG76=0,0,'P25'!AG76)</f>
        <v>4</v>
      </c>
      <c r="Q76" s="201">
        <f>IF('P25'!AH76=0,0,'P25'!AH76)</f>
        <v>0.7</v>
      </c>
      <c r="R76" s="201">
        <f>IF('P25'!AI76=0,0,'P25'!AI76)</f>
        <v>2.5</v>
      </c>
      <c r="S76" s="141"/>
      <c r="T76" s="139">
        <f t="shared" si="14"/>
        <v>0</v>
      </c>
      <c r="U76" s="140">
        <f t="shared" si="15"/>
        <v>0</v>
      </c>
      <c r="V76" s="141"/>
      <c r="W76" s="141"/>
      <c r="X76" s="141"/>
    </row>
    <row r="77" spans="2:24" s="5" customFormat="1" ht="14.25" customHeight="1" x14ac:dyDescent="0.25">
      <c r="B77" s="158" t="s">
        <v>93</v>
      </c>
      <c r="C77" s="36"/>
      <c r="D77" s="210">
        <f>'P25'!D77</f>
        <v>0</v>
      </c>
      <c r="E77" s="675"/>
      <c r="F77" s="676"/>
      <c r="G77" s="676"/>
      <c r="H77" s="206">
        <f>IF(F77=0,0,IF(E77=0,0,IF((E77-G77)/E77&lt;0,0,(E77-G77)/E77)))</f>
        <v>0</v>
      </c>
      <c r="I77" s="207">
        <f t="shared" si="11"/>
        <v>0</v>
      </c>
      <c r="J77" s="138" t="str">
        <f t="shared" si="12"/>
        <v/>
      </c>
      <c r="K77" s="138" t="str">
        <f t="shared" si="13"/>
        <v/>
      </c>
      <c r="N77" s="51" t="str">
        <f>IF('P25'!AE77=0,"",'P25'!AE77)</f>
        <v/>
      </c>
      <c r="O77" s="32">
        <f>IF('P25'!AF77=0,0,'P25'!AF77)</f>
        <v>0</v>
      </c>
      <c r="P77" s="201">
        <f>IF('P25'!AG77=0,0,'P25'!AG77)</f>
        <v>2.5</v>
      </c>
      <c r="Q77" s="201">
        <f>IF('P25'!AH77=0,0,'P25'!AH77)</f>
        <v>0.4</v>
      </c>
      <c r="R77" s="201">
        <f>IF('P25'!AI77=0,0,'P25'!AI77)</f>
        <v>4</v>
      </c>
      <c r="S77" s="141"/>
      <c r="T77" s="139">
        <f t="shared" si="14"/>
        <v>0</v>
      </c>
      <c r="U77" s="140">
        <f t="shared" si="15"/>
        <v>0</v>
      </c>
      <c r="V77" s="141"/>
      <c r="W77" s="141"/>
      <c r="X77" s="141"/>
    </row>
    <row r="78" spans="2:24" s="5" customFormat="1" ht="14.25" customHeight="1" x14ac:dyDescent="0.25">
      <c r="B78" s="158" t="s">
        <v>254</v>
      </c>
      <c r="C78" s="36"/>
      <c r="D78" s="205">
        <f>'P25'!D78</f>
        <v>0</v>
      </c>
      <c r="E78" s="675"/>
      <c r="F78" s="676"/>
      <c r="G78" s="676"/>
      <c r="H78" s="206">
        <f>IF(F78=0,0,IF(E78=0,0,IF((E78-G78)/E78&lt;0,0,(E78-G78)/E78)))</f>
        <v>0</v>
      </c>
      <c r="I78" s="207">
        <f t="shared" si="11"/>
        <v>0</v>
      </c>
      <c r="J78" s="138" t="str">
        <f t="shared" si="12"/>
        <v/>
      </c>
      <c r="K78" s="138" t="str">
        <f t="shared" si="13"/>
        <v/>
      </c>
      <c r="N78" s="51" t="str">
        <f>IF('P25'!AE78=0,"",'P25'!AE78)</f>
        <v/>
      </c>
      <c r="O78" s="32">
        <f>IF('P25'!AF78=0,0,'P25'!AF78)</f>
        <v>0.15</v>
      </c>
      <c r="P78" s="201">
        <f>IF('P25'!AG78=0,0,'P25'!AG78)</f>
        <v>1.7</v>
      </c>
      <c r="Q78" s="201">
        <f>IF('P25'!AH78=0,0,'P25'!AH78)</f>
        <v>0.2</v>
      </c>
      <c r="R78" s="201">
        <f>IF('P25'!AI78=0,0,'P25'!AI78)</f>
        <v>2.2999999999999998</v>
      </c>
      <c r="S78" s="141"/>
      <c r="T78" s="139">
        <f t="shared" si="14"/>
        <v>0</v>
      </c>
      <c r="U78" s="140">
        <f t="shared" si="15"/>
        <v>0</v>
      </c>
      <c r="V78" s="141"/>
      <c r="W78" s="141"/>
      <c r="X78" s="141"/>
    </row>
    <row r="79" spans="2:24" s="5" customFormat="1" ht="14.25" customHeight="1" x14ac:dyDescent="0.25">
      <c r="B79" s="691" t="s">
        <v>233</v>
      </c>
      <c r="C79" s="692"/>
      <c r="D79" s="205">
        <f>'P25'!D79</f>
        <v>0</v>
      </c>
      <c r="E79" s="211"/>
      <c r="F79" s="212"/>
      <c r="G79" s="212"/>
      <c r="H79" s="213"/>
      <c r="I79" s="214"/>
      <c r="J79" s="143"/>
      <c r="K79" s="143"/>
      <c r="L79" s="143"/>
      <c r="M79" s="143"/>
      <c r="N79" s="185"/>
      <c r="O79" s="144"/>
      <c r="P79" s="37"/>
      <c r="Q79" s="37"/>
      <c r="R79" s="37"/>
      <c r="S79" s="141"/>
      <c r="V79" s="141"/>
      <c r="W79" s="141"/>
      <c r="X79" s="141"/>
    </row>
    <row r="80" spans="2:24" s="4" customFormat="1" ht="14.25" customHeight="1" x14ac:dyDescent="0.25">
      <c r="B80" s="775" t="s">
        <v>194</v>
      </c>
      <c r="C80" s="776"/>
      <c r="D80" s="145">
        <f>SUM(D10:D79)-D57-D62</f>
        <v>0</v>
      </c>
      <c r="E80" s="146"/>
      <c r="F80" s="145">
        <f>(SUM(F10:F79))</f>
        <v>0</v>
      </c>
      <c r="G80" s="147"/>
      <c r="H80" s="148"/>
      <c r="I80" s="145">
        <f>SUM(I10:I79)</f>
        <v>0</v>
      </c>
      <c r="J80" s="149"/>
      <c r="K80" s="149"/>
      <c r="L80" s="149"/>
      <c r="M80" s="149"/>
      <c r="N80" s="186"/>
      <c r="O80" s="150"/>
      <c r="P80" s="150"/>
      <c r="Q80" s="150"/>
      <c r="R80" s="150"/>
      <c r="S80" s="151"/>
      <c r="V80" s="151"/>
      <c r="W80" s="151"/>
      <c r="X80" s="151"/>
    </row>
    <row r="81" spans="2:24" x14ac:dyDescent="0.25">
      <c r="D81" s="152"/>
      <c r="E81" s="153"/>
      <c r="F81" s="153"/>
      <c r="G81" s="153"/>
      <c r="H81" s="154" t="s">
        <v>253</v>
      </c>
      <c r="I81" s="299">
        <f>D8*60/1000</f>
        <v>0</v>
      </c>
      <c r="J81" s="143"/>
      <c r="K81" s="143"/>
      <c r="L81" s="143"/>
      <c r="M81" s="143"/>
      <c r="N81" s="187"/>
      <c r="O81" s="38"/>
      <c r="S81" s="11"/>
      <c r="V81" s="11"/>
      <c r="W81" s="11"/>
      <c r="X81" s="11"/>
    </row>
    <row r="82" spans="2:24" x14ac:dyDescent="0.25">
      <c r="D82" s="152"/>
      <c r="E82" s="155"/>
      <c r="F82" s="155"/>
      <c r="G82" s="155"/>
      <c r="H82" s="156" t="s">
        <v>231</v>
      </c>
      <c r="I82" s="145">
        <f>I80+I81</f>
        <v>0</v>
      </c>
      <c r="J82" s="149"/>
      <c r="K82" s="149"/>
      <c r="L82" s="149"/>
      <c r="M82" s="149"/>
      <c r="N82" s="187"/>
      <c r="S82" s="11"/>
      <c r="V82" s="11"/>
      <c r="W82" s="11"/>
      <c r="X82" s="11"/>
    </row>
    <row r="83" spans="2:24" x14ac:dyDescent="0.25">
      <c r="O83" s="38"/>
      <c r="S83" s="11"/>
      <c r="V83" s="11"/>
      <c r="W83" s="11"/>
      <c r="X83" s="11"/>
    </row>
    <row r="84" spans="2:24" x14ac:dyDescent="0.25">
      <c r="B84" s="722" t="str">
        <f>'P24'!B83</f>
        <v>Verze 4 (18. 9. 2025, www.carc.cz), kontakty: Ing. Jan Klír, CSc. (603 520 684; jan.klir@carc.cz), Ing. Lada Kozlovská (733 375 632; lada.kozlovska@carc.cz)</v>
      </c>
      <c r="C84" s="722"/>
      <c r="D84" s="722"/>
      <c r="E84" s="722"/>
      <c r="F84" s="722"/>
      <c r="G84" s="722"/>
      <c r="H84" s="722"/>
      <c r="I84" s="722"/>
      <c r="J84" s="20"/>
      <c r="K84" s="20"/>
      <c r="L84" s="20"/>
      <c r="M84" s="20"/>
      <c r="N84" s="188"/>
      <c r="O84" s="11"/>
      <c r="P84" s="11"/>
      <c r="Q84" s="11"/>
      <c r="R84" s="11"/>
      <c r="S84" s="11"/>
      <c r="T84" s="11"/>
      <c r="V84" s="11"/>
      <c r="W84" s="11"/>
      <c r="X84" s="11"/>
    </row>
    <row r="85" spans="2:24" x14ac:dyDescent="0.25">
      <c r="B85" s="11"/>
      <c r="C85" s="11"/>
      <c r="D85" s="11"/>
      <c r="E85" s="20"/>
      <c r="F85" s="20"/>
      <c r="G85" s="20"/>
      <c r="H85" s="20"/>
      <c r="I85" s="20"/>
      <c r="J85" s="20"/>
      <c r="K85" s="20"/>
      <c r="L85" s="20"/>
      <c r="M85" s="20"/>
      <c r="N85" s="188"/>
      <c r="O85" s="11"/>
      <c r="P85" s="11"/>
      <c r="Q85" s="11"/>
      <c r="R85" s="11"/>
      <c r="S85" s="11"/>
      <c r="T85" s="11"/>
      <c r="V85" s="11"/>
      <c r="W85" s="11"/>
      <c r="X85" s="11"/>
    </row>
    <row r="86" spans="2:24" x14ac:dyDescent="0.25">
      <c r="B86" s="11"/>
      <c r="C86" s="11"/>
      <c r="D86" s="11"/>
      <c r="E86" s="20"/>
      <c r="F86" s="20"/>
      <c r="G86" s="20"/>
      <c r="H86" s="20"/>
      <c r="I86" s="20"/>
      <c r="J86" s="20"/>
      <c r="K86" s="20"/>
      <c r="L86" s="20"/>
      <c r="M86" s="20"/>
      <c r="N86" s="188"/>
      <c r="O86" s="11"/>
      <c r="P86" s="11"/>
      <c r="Q86" s="11"/>
      <c r="R86" s="11"/>
      <c r="S86" s="11"/>
      <c r="T86" s="11"/>
      <c r="V86" s="11"/>
      <c r="W86" s="11"/>
      <c r="X86" s="11"/>
    </row>
    <row r="87" spans="2:24" x14ac:dyDescent="0.25">
      <c r="B87" s="11"/>
      <c r="C87" s="11"/>
      <c r="D87" s="11"/>
      <c r="E87" s="157"/>
      <c r="F87" s="157"/>
      <c r="G87" s="157"/>
      <c r="H87" s="157"/>
      <c r="I87" s="157"/>
      <c r="J87" s="157"/>
      <c r="K87" s="157"/>
      <c r="L87" s="157"/>
      <c r="M87" s="157"/>
      <c r="N87" s="188"/>
      <c r="O87" s="11"/>
      <c r="P87" s="11"/>
      <c r="Q87" s="11"/>
      <c r="R87" s="11"/>
      <c r="S87" s="11"/>
      <c r="T87" s="11"/>
      <c r="V87" s="11"/>
      <c r="W87" s="11"/>
      <c r="X87" s="11"/>
    </row>
    <row r="88" spans="2:24" x14ac:dyDescent="0.25">
      <c r="B88" s="11"/>
      <c r="C88" s="11"/>
      <c r="D88" s="11"/>
      <c r="E88" s="20"/>
      <c r="F88" s="20"/>
      <c r="G88" s="20"/>
      <c r="H88" s="20"/>
      <c r="I88" s="20"/>
      <c r="J88" s="20"/>
      <c r="K88" s="20"/>
      <c r="L88" s="20"/>
      <c r="M88" s="20"/>
      <c r="N88" s="188"/>
      <c r="O88" s="11"/>
      <c r="P88" s="11"/>
      <c r="Q88" s="11"/>
      <c r="R88" s="11"/>
      <c r="S88" s="11"/>
      <c r="T88" s="11"/>
      <c r="V88" s="11"/>
      <c r="W88" s="11"/>
      <c r="X88" s="11"/>
    </row>
    <row r="89" spans="2:24" x14ac:dyDescent="0.25">
      <c r="B89" s="11"/>
      <c r="C89" s="11"/>
      <c r="D89" s="11"/>
      <c r="E89" s="20"/>
      <c r="F89" s="20"/>
      <c r="G89" s="20"/>
      <c r="H89" s="20"/>
      <c r="I89" s="20"/>
      <c r="J89" s="20"/>
      <c r="K89" s="20"/>
      <c r="L89" s="20"/>
      <c r="M89" s="20"/>
      <c r="N89" s="188"/>
      <c r="O89" s="11"/>
      <c r="P89" s="11"/>
      <c r="Q89" s="11"/>
      <c r="R89" s="11"/>
      <c r="S89" s="11"/>
      <c r="T89" s="11"/>
      <c r="V89" s="11"/>
      <c r="W89" s="11"/>
      <c r="X89" s="11"/>
    </row>
    <row r="90" spans="2:24" x14ac:dyDescent="0.25">
      <c r="B90" s="11"/>
      <c r="C90" s="11"/>
      <c r="D90" s="11"/>
      <c r="E90" s="20"/>
      <c r="F90" s="20"/>
      <c r="G90" s="20"/>
      <c r="H90" s="20"/>
      <c r="I90" s="20"/>
      <c r="J90" s="20"/>
      <c r="K90" s="20"/>
      <c r="L90" s="20"/>
      <c r="M90" s="20"/>
      <c r="N90" s="188"/>
      <c r="O90" s="11"/>
      <c r="P90" s="11"/>
      <c r="Q90" s="11"/>
      <c r="R90" s="11"/>
      <c r="S90" s="11"/>
      <c r="T90" s="11"/>
      <c r="V90" s="11"/>
      <c r="W90" s="11"/>
      <c r="X90" s="11"/>
    </row>
    <row r="91" spans="2:24" x14ac:dyDescent="0.25">
      <c r="B91" s="11"/>
      <c r="C91" s="11"/>
      <c r="D91" s="11"/>
      <c r="E91" s="20"/>
      <c r="F91" s="20"/>
      <c r="G91" s="20"/>
      <c r="H91" s="20"/>
      <c r="I91" s="20"/>
      <c r="J91" s="20"/>
      <c r="K91" s="20"/>
      <c r="L91" s="20"/>
      <c r="M91" s="20"/>
      <c r="N91" s="188"/>
      <c r="O91" s="11"/>
      <c r="P91" s="11"/>
      <c r="Q91" s="11"/>
      <c r="R91" s="11"/>
      <c r="S91" s="11"/>
      <c r="T91" s="11"/>
      <c r="V91" s="11"/>
      <c r="W91" s="11"/>
      <c r="X91" s="11"/>
    </row>
    <row r="92" spans="2:24" x14ac:dyDescent="0.25">
      <c r="B92" s="11"/>
      <c r="C92" s="11"/>
      <c r="D92" s="11"/>
      <c r="E92" s="20"/>
      <c r="F92" s="20"/>
      <c r="G92" s="20"/>
      <c r="H92" s="20"/>
      <c r="I92" s="20"/>
      <c r="J92" s="20"/>
      <c r="K92" s="20"/>
      <c r="L92" s="20"/>
      <c r="M92" s="20"/>
      <c r="N92" s="188"/>
      <c r="O92" s="11"/>
      <c r="P92" s="11"/>
      <c r="Q92" s="11"/>
      <c r="R92" s="11"/>
      <c r="S92" s="11"/>
      <c r="T92" s="11"/>
      <c r="V92" s="11"/>
      <c r="W92" s="11"/>
      <c r="X92" s="11"/>
    </row>
    <row r="93" spans="2:24" x14ac:dyDescent="0.25">
      <c r="B93" s="11"/>
      <c r="C93" s="11"/>
      <c r="D93" s="11"/>
      <c r="E93" s="20"/>
      <c r="F93" s="20"/>
      <c r="G93" s="20"/>
      <c r="H93" s="20"/>
      <c r="I93" s="20"/>
      <c r="J93" s="20"/>
      <c r="K93" s="20"/>
      <c r="L93" s="20"/>
      <c r="M93" s="20"/>
      <c r="N93" s="188"/>
      <c r="O93" s="11"/>
      <c r="P93" s="11"/>
      <c r="Q93" s="11"/>
      <c r="R93" s="11"/>
      <c r="S93" s="11"/>
      <c r="T93" s="11"/>
      <c r="V93" s="11"/>
      <c r="W93" s="11"/>
      <c r="X93" s="11"/>
    </row>
    <row r="94" spans="2:24" x14ac:dyDescent="0.25">
      <c r="B94" s="11"/>
      <c r="C94" s="11"/>
      <c r="D94" s="11"/>
      <c r="E94" s="20"/>
      <c r="F94" s="20"/>
      <c r="G94" s="20"/>
      <c r="H94" s="20"/>
      <c r="I94" s="20"/>
      <c r="J94" s="20"/>
      <c r="K94" s="20"/>
      <c r="L94" s="20"/>
      <c r="M94" s="20"/>
      <c r="N94" s="188"/>
      <c r="O94" s="11"/>
      <c r="P94" s="11"/>
      <c r="Q94" s="11"/>
      <c r="R94" s="11"/>
      <c r="S94" s="11"/>
      <c r="T94" s="11"/>
      <c r="V94" s="11"/>
      <c r="W94" s="11"/>
      <c r="X94" s="11"/>
    </row>
    <row r="95" spans="2:24" x14ac:dyDescent="0.25">
      <c r="B95" s="11"/>
      <c r="C95" s="11"/>
      <c r="D95" s="11"/>
      <c r="E95" s="20"/>
      <c r="F95" s="20"/>
      <c r="G95" s="20"/>
      <c r="H95" s="20"/>
      <c r="I95" s="20"/>
      <c r="J95" s="20"/>
      <c r="K95" s="20"/>
      <c r="L95" s="20"/>
      <c r="M95" s="20"/>
      <c r="N95" s="188"/>
      <c r="O95" s="11"/>
      <c r="P95" s="11"/>
      <c r="Q95" s="11"/>
      <c r="R95" s="11"/>
      <c r="S95" s="11"/>
      <c r="T95" s="11"/>
      <c r="V95" s="11"/>
      <c r="W95" s="11"/>
      <c r="X95" s="11"/>
    </row>
    <row r="96" spans="2:24" x14ac:dyDescent="0.25">
      <c r="B96" s="11"/>
      <c r="C96" s="11"/>
      <c r="D96" s="11"/>
      <c r="E96" s="20"/>
      <c r="F96" s="20"/>
      <c r="G96" s="20"/>
      <c r="H96" s="20"/>
      <c r="I96" s="20"/>
      <c r="J96" s="20"/>
      <c r="K96" s="20"/>
      <c r="L96" s="20"/>
      <c r="M96" s="20"/>
      <c r="N96" s="188"/>
      <c r="O96" s="11"/>
      <c r="P96" s="11"/>
      <c r="Q96" s="11"/>
      <c r="R96" s="11"/>
      <c r="S96" s="11"/>
      <c r="T96" s="11"/>
      <c r="V96" s="11"/>
      <c r="W96" s="11"/>
      <c r="X96" s="11"/>
    </row>
    <row r="97" spans="2:24" x14ac:dyDescent="0.25">
      <c r="B97" s="11"/>
      <c r="C97" s="11"/>
      <c r="D97" s="11"/>
      <c r="E97" s="20"/>
      <c r="F97" s="20"/>
      <c r="G97" s="20"/>
      <c r="H97" s="20"/>
      <c r="I97" s="20"/>
      <c r="J97" s="20"/>
      <c r="K97" s="20"/>
      <c r="L97" s="20"/>
      <c r="M97" s="20"/>
      <c r="N97" s="188"/>
      <c r="O97" s="11"/>
      <c r="P97" s="11"/>
      <c r="Q97" s="11"/>
      <c r="R97" s="11"/>
      <c r="S97" s="11"/>
      <c r="T97" s="11"/>
      <c r="V97" s="11"/>
      <c r="W97" s="11"/>
      <c r="X97" s="11"/>
    </row>
    <row r="98" spans="2:24" x14ac:dyDescent="0.25">
      <c r="B98" s="11"/>
      <c r="C98" s="11"/>
      <c r="D98" s="11"/>
      <c r="E98" s="20"/>
      <c r="F98" s="20"/>
      <c r="G98" s="20"/>
      <c r="H98" s="20"/>
      <c r="I98" s="20"/>
      <c r="J98" s="20"/>
      <c r="K98" s="20"/>
      <c r="L98" s="20"/>
      <c r="M98" s="20"/>
      <c r="N98" s="188"/>
      <c r="O98" s="11"/>
      <c r="P98" s="11"/>
      <c r="Q98" s="11"/>
      <c r="R98" s="11"/>
      <c r="S98" s="11"/>
      <c r="T98" s="11"/>
      <c r="V98" s="11"/>
      <c r="W98" s="11"/>
      <c r="X98" s="11"/>
    </row>
  </sheetData>
  <sheetProtection algorithmName="SHA-512" hashValue="izdTfMTkgpHQ6p3I8rSAEJCJP7P3z4HVymLyDvHtKuPRnM2+YxMtRJLLgvVQ1N1ZLxkadEdO/zGY+tXbboxfvQ==" saltValue="zaOE2eXL7R4UQFokNYpFRQ==" spinCount="100000" sheet="1" formatCells="0" formatColumns="0" formatRows="0" selectLockedCells="1"/>
  <mergeCells count="21">
    <mergeCell ref="B84:I84"/>
    <mergeCell ref="D2:I2"/>
    <mergeCell ref="B7:D7"/>
    <mergeCell ref="E7:I8"/>
    <mergeCell ref="J7:J9"/>
    <mergeCell ref="B80:C80"/>
    <mergeCell ref="B10:B11"/>
    <mergeCell ref="B15:B16"/>
    <mergeCell ref="B27:B28"/>
    <mergeCell ref="B74:B75"/>
    <mergeCell ref="B79:C79"/>
    <mergeCell ref="B1:B2"/>
    <mergeCell ref="B3:B6"/>
    <mergeCell ref="K7:K9"/>
    <mergeCell ref="D3:I3"/>
    <mergeCell ref="N7:R7"/>
    <mergeCell ref="B8:C8"/>
    <mergeCell ref="N8:N9"/>
    <mergeCell ref="O8:O9"/>
    <mergeCell ref="P8:R8"/>
    <mergeCell ref="B9:C9"/>
  </mergeCells>
  <conditionalFormatting sqref="J10:K78">
    <cfRule type="cellIs" dxfId="113" priority="1" stopIfTrue="1" operator="equal">
      <formula>"!"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DF8406-BC72-4DD8-ACEF-E5A36D00BE80}">
  <sheetPr>
    <tabColor theme="7" tint="0.59999389629810485"/>
  </sheetPr>
  <dimension ref="B1:X98"/>
  <sheetViews>
    <sheetView showGridLines="0" showZeros="0" zoomScale="90" zoomScaleNormal="90" workbookViewId="0">
      <pane xSplit="3" ySplit="9" topLeftCell="D10" activePane="bottomRight" state="frozen"/>
      <selection pane="topRight" activeCell="C1" sqref="C1"/>
      <selection pane="bottomLeft" activeCell="A10" sqref="A10"/>
      <selection pane="bottomRight" activeCell="E10" sqref="E10"/>
    </sheetView>
  </sheetViews>
  <sheetFormatPr defaultColWidth="5.7109375" defaultRowHeight="15" x14ac:dyDescent="0.25"/>
  <cols>
    <col min="1" max="1" width="0.5703125" customWidth="1"/>
    <col min="2" max="2" width="44.7109375" customWidth="1"/>
    <col min="3" max="3" width="29.140625" customWidth="1"/>
    <col min="4" max="4" width="16" customWidth="1"/>
    <col min="5" max="5" width="16.7109375" style="2" customWidth="1"/>
    <col min="6" max="6" width="12.7109375" style="2" customWidth="1"/>
    <col min="7" max="7" width="15.5703125" style="2" customWidth="1"/>
    <col min="8" max="8" width="12.7109375" style="2" customWidth="1"/>
    <col min="9" max="9" width="26.42578125" style="2" customWidth="1"/>
    <col min="10" max="11" width="2.7109375" style="2" customWidth="1"/>
    <col min="12" max="12" width="71.5703125" style="2" customWidth="1"/>
    <col min="13" max="13" width="64" style="2" customWidth="1"/>
    <col min="14" max="14" width="17.42578125" style="99" customWidth="1"/>
    <col min="15" max="15" width="7.7109375" customWidth="1"/>
    <col min="16" max="18" width="8.85546875" customWidth="1"/>
    <col min="19" max="19" width="5.7109375" customWidth="1"/>
    <col min="20" max="20" width="8.28515625" hidden="1" customWidth="1"/>
    <col min="21" max="21" width="0" hidden="1" customWidth="1"/>
  </cols>
  <sheetData>
    <row r="1" spans="2:24" ht="5.25" customHeight="1" x14ac:dyDescent="0.25">
      <c r="B1" s="780" t="s">
        <v>526</v>
      </c>
      <c r="C1" s="232"/>
      <c r="D1" s="232"/>
      <c r="E1" s="237"/>
      <c r="F1" s="237"/>
      <c r="G1" s="237"/>
      <c r="H1" s="237"/>
      <c r="I1" s="237"/>
      <c r="J1" s="237"/>
      <c r="K1" s="237"/>
      <c r="S1" s="11"/>
      <c r="V1" s="11"/>
      <c r="W1" s="11"/>
      <c r="X1" s="11"/>
    </row>
    <row r="2" spans="2:24" s="3" customFormat="1" ht="20.25" customHeight="1" x14ac:dyDescent="0.25">
      <c r="B2" s="780"/>
      <c r="C2" s="229" t="s">
        <v>239</v>
      </c>
      <c r="D2" s="756" t="str">
        <f>IF('P24'!G2=0,"",'P24'!G2)</f>
        <v/>
      </c>
      <c r="E2" s="756"/>
      <c r="F2" s="756"/>
      <c r="G2" s="756"/>
      <c r="H2" s="756"/>
      <c r="I2" s="756"/>
      <c r="J2" s="238"/>
      <c r="K2" s="238"/>
      <c r="L2" s="128"/>
      <c r="M2" s="128"/>
      <c r="N2" s="184"/>
      <c r="O2" s="129"/>
      <c r="S2" s="130"/>
      <c r="V2" s="130"/>
      <c r="W2" s="130"/>
      <c r="X2" s="130"/>
    </row>
    <row r="3" spans="2:24" s="1" customFormat="1" ht="20.25" customHeight="1" x14ac:dyDescent="0.25">
      <c r="B3" s="778" t="s">
        <v>518</v>
      </c>
      <c r="C3" s="229" t="s">
        <v>448</v>
      </c>
      <c r="D3" s="756" t="str">
        <f>IF('P24'!G3=0,"",'P24'!G3)</f>
        <v/>
      </c>
      <c r="E3" s="756"/>
      <c r="F3" s="756"/>
      <c r="G3" s="756"/>
      <c r="H3" s="756"/>
      <c r="I3" s="756"/>
      <c r="J3" s="234"/>
      <c r="K3" s="234"/>
      <c r="L3" s="131"/>
      <c r="M3" s="131"/>
      <c r="N3" s="180"/>
      <c r="S3" s="19"/>
      <c r="T3" s="132"/>
      <c r="V3" s="19"/>
      <c r="W3" s="19"/>
      <c r="X3" s="19"/>
    </row>
    <row r="4" spans="2:24" s="1" customFormat="1" ht="20.25" customHeight="1" x14ac:dyDescent="0.25">
      <c r="B4" s="778"/>
      <c r="C4" s="229" t="s">
        <v>240</v>
      </c>
      <c r="D4" s="291">
        <f>'P26'!G5</f>
        <v>2026</v>
      </c>
      <c r="E4" s="234"/>
      <c r="F4" s="234"/>
      <c r="G4" s="234"/>
      <c r="H4" s="234"/>
      <c r="I4" s="234"/>
      <c r="J4" s="234"/>
      <c r="K4" s="234"/>
      <c r="L4" s="131"/>
      <c r="M4" s="131"/>
      <c r="N4" s="180"/>
      <c r="O4" s="133"/>
      <c r="P4" s="29"/>
      <c r="Q4" s="29"/>
      <c r="R4" s="29"/>
      <c r="S4" s="19"/>
      <c r="T4" s="132"/>
      <c r="V4" s="19"/>
      <c r="W4" s="19"/>
      <c r="X4" s="19"/>
    </row>
    <row r="5" spans="2:24" s="1" customFormat="1" ht="3" customHeight="1" x14ac:dyDescent="0.25">
      <c r="B5" s="778"/>
      <c r="C5" s="229"/>
      <c r="D5" s="236"/>
      <c r="E5" s="234"/>
      <c r="F5" s="234"/>
      <c r="G5" s="234"/>
      <c r="H5" s="234"/>
      <c r="I5" s="234"/>
      <c r="J5" s="234"/>
      <c r="K5" s="234"/>
      <c r="L5" s="131"/>
      <c r="M5" s="131"/>
      <c r="N5" s="180"/>
      <c r="O5" s="133"/>
      <c r="P5" s="29"/>
      <c r="Q5" s="29"/>
      <c r="R5" s="29"/>
      <c r="S5" s="19"/>
      <c r="T5" s="132"/>
      <c r="V5" s="19"/>
      <c r="W5" s="19"/>
      <c r="X5" s="19"/>
    </row>
    <row r="6" spans="2:24" s="1" customFormat="1" ht="3" customHeight="1" x14ac:dyDescent="0.25">
      <c r="B6" s="779"/>
      <c r="C6" s="233"/>
      <c r="D6" s="235"/>
      <c r="E6" s="234"/>
      <c r="F6" s="234"/>
      <c r="G6" s="234"/>
      <c r="H6" s="234"/>
      <c r="I6" s="234"/>
      <c r="J6" s="234"/>
      <c r="K6" s="234"/>
      <c r="L6" s="131"/>
      <c r="M6" s="131"/>
      <c r="N6" s="180"/>
      <c r="O6" s="133"/>
      <c r="P6" s="29"/>
      <c r="Q6" s="29"/>
      <c r="R6" s="29"/>
      <c r="S6" s="19"/>
      <c r="T6" s="132"/>
      <c r="V6" s="19"/>
      <c r="W6" s="19"/>
      <c r="X6" s="19"/>
    </row>
    <row r="7" spans="2:24" ht="15" customHeight="1" x14ac:dyDescent="0.25">
      <c r="B7" s="766" t="s">
        <v>241</v>
      </c>
      <c r="C7" s="767"/>
      <c r="D7" s="768"/>
      <c r="E7" s="769" t="s">
        <v>242</v>
      </c>
      <c r="F7" s="770"/>
      <c r="G7" s="770"/>
      <c r="H7" s="770"/>
      <c r="I7" s="771"/>
      <c r="J7" s="753" t="s">
        <v>243</v>
      </c>
      <c r="K7" s="753" t="s">
        <v>244</v>
      </c>
      <c r="L7" s="134"/>
      <c r="M7" s="134"/>
      <c r="N7" s="757" t="s">
        <v>150</v>
      </c>
      <c r="O7" s="757"/>
      <c r="P7" s="757"/>
      <c r="Q7" s="757"/>
      <c r="R7" s="757"/>
      <c r="S7" s="11"/>
      <c r="T7" s="132"/>
      <c r="V7" s="11"/>
      <c r="W7" s="11"/>
      <c r="X7" s="11"/>
    </row>
    <row r="8" spans="2:24" ht="15" customHeight="1" x14ac:dyDescent="0.25">
      <c r="B8" s="758" t="s">
        <v>245</v>
      </c>
      <c r="C8" s="758"/>
      <c r="D8" s="210">
        <f>SUM(D63:D77)</f>
        <v>0</v>
      </c>
      <c r="E8" s="772"/>
      <c r="F8" s="773"/>
      <c r="G8" s="773"/>
      <c r="H8" s="773"/>
      <c r="I8" s="774"/>
      <c r="J8" s="754"/>
      <c r="K8" s="754"/>
      <c r="L8" s="134"/>
      <c r="M8" s="134"/>
      <c r="N8" s="759" t="s">
        <v>130</v>
      </c>
      <c r="O8" s="761" t="s">
        <v>60</v>
      </c>
      <c r="P8" s="763" t="s">
        <v>246</v>
      </c>
      <c r="Q8" s="764"/>
      <c r="R8" s="765"/>
      <c r="S8" s="11"/>
      <c r="T8" s="132"/>
      <c r="V8" s="11"/>
      <c r="W8" s="11"/>
      <c r="X8" s="11"/>
    </row>
    <row r="9" spans="2:24" s="1" customFormat="1" ht="52.5" customHeight="1" x14ac:dyDescent="0.25">
      <c r="B9" s="698" t="s">
        <v>259</v>
      </c>
      <c r="C9" s="699"/>
      <c r="D9" s="135" t="s">
        <v>275</v>
      </c>
      <c r="E9" s="136" t="s">
        <v>247</v>
      </c>
      <c r="F9" s="137" t="s">
        <v>248</v>
      </c>
      <c r="G9" s="137" t="s">
        <v>249</v>
      </c>
      <c r="H9" s="137" t="s">
        <v>250</v>
      </c>
      <c r="I9" s="137" t="s">
        <v>251</v>
      </c>
      <c r="J9" s="755"/>
      <c r="K9" s="755"/>
      <c r="L9" s="134"/>
      <c r="M9" s="134"/>
      <c r="N9" s="760"/>
      <c r="O9" s="762"/>
      <c r="P9" s="30" t="s">
        <v>0</v>
      </c>
      <c r="Q9" s="30" t="s">
        <v>449</v>
      </c>
      <c r="R9" s="30" t="s">
        <v>450</v>
      </c>
      <c r="S9" s="19"/>
      <c r="T9" s="29" t="s">
        <v>143</v>
      </c>
      <c r="U9" s="29" t="s">
        <v>252</v>
      </c>
      <c r="V9" s="19"/>
      <c r="W9" s="19"/>
      <c r="X9" s="19"/>
    </row>
    <row r="10" spans="2:24" s="5" customFormat="1" ht="14.25" customHeight="1" x14ac:dyDescent="0.25">
      <c r="B10" s="689" t="s">
        <v>433</v>
      </c>
      <c r="C10" s="31" t="s">
        <v>180</v>
      </c>
      <c r="D10" s="205">
        <f>'P26'!D10</f>
        <v>0</v>
      </c>
      <c r="E10" s="27"/>
      <c r="F10" s="674"/>
      <c r="G10" s="674"/>
      <c r="H10" s="206">
        <f>IF(F10=0,0,IF(E10=0,0,IF((E10-G10)/E10&lt;0,0,(E10-G10)/E10)))</f>
        <v>0</v>
      </c>
      <c r="I10" s="207">
        <f>IF(E10=0,0,IF((E10-G10)/E10&lt;0.3,0,(E10-G10)*F10*P10/1000))</f>
        <v>0</v>
      </c>
      <c r="J10" s="138" t="str">
        <f t="shared" ref="J10:K40" si="0">IF(T10&lt;0,"!","")</f>
        <v/>
      </c>
      <c r="K10" s="138" t="str">
        <f t="shared" si="0"/>
        <v/>
      </c>
      <c r="N10" s="51" t="str">
        <f>IF('P25'!AE10=0,"",'P25'!AE10)</f>
        <v>zrno</v>
      </c>
      <c r="O10" s="32">
        <f>IF('P25'!AF10=0,0,'P25'!AF10)</f>
        <v>0.86</v>
      </c>
      <c r="P10" s="201">
        <f>IF('P25'!AG10=0,0,'P25'!AG10)</f>
        <v>20.399999999999999</v>
      </c>
      <c r="Q10" s="201">
        <f>IF('P25'!AH10=0,0,'P25'!AH10)</f>
        <v>2.9</v>
      </c>
      <c r="R10" s="201">
        <f>IF('P25'!AI10=0,0,'P25'!AI10)</f>
        <v>3.5</v>
      </c>
      <c r="S10" s="141"/>
      <c r="T10" s="139">
        <f t="shared" ref="T10:U40" si="1">D10-F10</f>
        <v>0</v>
      </c>
      <c r="U10" s="140">
        <f>E10-G10</f>
        <v>0</v>
      </c>
      <c r="V10" s="141"/>
      <c r="W10" s="141"/>
      <c r="X10" s="141"/>
    </row>
    <row r="11" spans="2:24" s="5" customFormat="1" ht="14.25" customHeight="1" x14ac:dyDescent="0.25">
      <c r="B11" s="690"/>
      <c r="C11" s="31" t="s">
        <v>181</v>
      </c>
      <c r="D11" s="205">
        <f>'P26'!D11</f>
        <v>0</v>
      </c>
      <c r="E11" s="27"/>
      <c r="F11" s="674"/>
      <c r="G11" s="674"/>
      <c r="H11" s="206">
        <f>IF(F11=0,0,IF(E11=0,0,IF((E11-G11)/E11&lt;0,0,(E11-G11)/E11)))</f>
        <v>0</v>
      </c>
      <c r="I11" s="207">
        <f>IF(E11=0,0,IF((E11-G11)/E11&lt;0.3,0,(E11-G11)*F11*P11/1000))</f>
        <v>0</v>
      </c>
      <c r="J11" s="138" t="str">
        <f t="shared" si="0"/>
        <v/>
      </c>
      <c r="K11" s="138" t="str">
        <f t="shared" si="0"/>
        <v/>
      </c>
      <c r="N11" s="51" t="str">
        <f>IF('P25'!AE11=0,"",'P25'!AE11)</f>
        <v>zrno</v>
      </c>
      <c r="O11" s="32">
        <f>IF('P25'!AF11=0,0,'P25'!AF11)</f>
        <v>0.86</v>
      </c>
      <c r="P11" s="201">
        <f>IF('P25'!AG11=0,0,'P25'!AG11)</f>
        <v>17.8</v>
      </c>
      <c r="Q11" s="201">
        <f>IF('P25'!AH11=0,0,'P25'!AH11)</f>
        <v>2.9</v>
      </c>
      <c r="R11" s="201">
        <f>IF('P25'!AI11=0,0,'P25'!AI11)</f>
        <v>3.5</v>
      </c>
      <c r="S11" s="141"/>
      <c r="T11" s="139">
        <f t="shared" si="1"/>
        <v>0</v>
      </c>
      <c r="U11" s="140">
        <f>E11-G11</f>
        <v>0</v>
      </c>
      <c r="V11" s="141"/>
      <c r="W11" s="141"/>
      <c r="X11" s="141"/>
    </row>
    <row r="12" spans="2:24" s="5" customFormat="1" ht="14.25" customHeight="1" x14ac:dyDescent="0.25">
      <c r="B12" s="158" t="s">
        <v>434</v>
      </c>
      <c r="C12" s="34"/>
      <c r="D12" s="205">
        <f>'P26'!D12</f>
        <v>0</v>
      </c>
      <c r="E12" s="675"/>
      <c r="F12" s="676"/>
      <c r="G12" s="676"/>
      <c r="H12" s="206">
        <f t="shared" ref="H12:H74" si="2">IF(F12=0,0,IF(E12=0,0,IF((E12-G12)/E12&lt;0,0,(E12-G12)/E12)))</f>
        <v>0</v>
      </c>
      <c r="I12" s="207">
        <f t="shared" ref="I12:I75" si="3">IF(E12=0,0,IF((E12-G12)/E12&lt;0.3,0,(E12-G12)*F12*P12/1000))</f>
        <v>0</v>
      </c>
      <c r="J12" s="138" t="str">
        <f t="shared" si="0"/>
        <v/>
      </c>
      <c r="K12" s="138" t="str">
        <f t="shared" si="0"/>
        <v/>
      </c>
      <c r="N12" s="51" t="str">
        <f>IF('P25'!AE12=0,"",'P25'!AE12)</f>
        <v>zrno</v>
      </c>
      <c r="O12" s="32">
        <f>IF('P25'!AF12=0,0,'P25'!AF12)</f>
        <v>0.86</v>
      </c>
      <c r="P12" s="201">
        <f>IF('P25'!AG12=0,0,'P25'!AG12)</f>
        <v>18.100000000000001</v>
      </c>
      <c r="Q12" s="201">
        <f>IF('P25'!AH12=0,0,'P25'!AH12)</f>
        <v>3</v>
      </c>
      <c r="R12" s="201">
        <f>IF('P25'!AI12=0,0,'P25'!AI12)</f>
        <v>3.7</v>
      </c>
      <c r="S12" s="141"/>
      <c r="T12" s="139">
        <f t="shared" si="1"/>
        <v>0</v>
      </c>
      <c r="U12" s="140">
        <f t="shared" si="1"/>
        <v>0</v>
      </c>
      <c r="V12" s="141"/>
      <c r="W12" s="141"/>
      <c r="X12" s="141"/>
    </row>
    <row r="13" spans="2:24" s="5" customFormat="1" ht="14.25" customHeight="1" x14ac:dyDescent="0.25">
      <c r="B13" s="158" t="s">
        <v>87</v>
      </c>
      <c r="C13" s="34"/>
      <c r="D13" s="205">
        <f>'P26'!D13</f>
        <v>0</v>
      </c>
      <c r="E13" s="675"/>
      <c r="F13" s="676"/>
      <c r="G13" s="676"/>
      <c r="H13" s="206">
        <f t="shared" si="2"/>
        <v>0</v>
      </c>
      <c r="I13" s="207">
        <f t="shared" si="3"/>
        <v>0</v>
      </c>
      <c r="J13" s="138" t="str">
        <f t="shared" si="0"/>
        <v/>
      </c>
      <c r="K13" s="138" t="str">
        <f t="shared" si="0"/>
        <v/>
      </c>
      <c r="N13" s="51" t="str">
        <f>IF('P25'!AE13=0,"",'P25'!AE13)</f>
        <v>zrno</v>
      </c>
      <c r="O13" s="32">
        <f>IF('P25'!AF13=0,0,'P25'!AF13)</f>
        <v>0.86</v>
      </c>
      <c r="P13" s="201">
        <f>IF('P25'!AG13=0,0,'P25'!AG13)</f>
        <v>16.2</v>
      </c>
      <c r="Q13" s="201">
        <f>IF('P25'!AH13=0,0,'P25'!AH13)</f>
        <v>3.5</v>
      </c>
      <c r="R13" s="201">
        <f>IF('P25'!AI13=0,0,'P25'!AI13)</f>
        <v>5.0999999999999996</v>
      </c>
      <c r="S13" s="141"/>
      <c r="T13" s="139">
        <f t="shared" si="1"/>
        <v>0</v>
      </c>
      <c r="U13" s="140">
        <f t="shared" si="1"/>
        <v>0</v>
      </c>
      <c r="V13" s="141"/>
      <c r="W13" s="141"/>
      <c r="X13" s="141"/>
    </row>
    <row r="14" spans="2:24" s="5" customFormat="1" ht="14.25" customHeight="1" x14ac:dyDescent="0.25">
      <c r="B14" s="158" t="s">
        <v>80</v>
      </c>
      <c r="C14" s="34"/>
      <c r="D14" s="205">
        <f>'P26'!D14</f>
        <v>0</v>
      </c>
      <c r="E14" s="675"/>
      <c r="F14" s="676"/>
      <c r="G14" s="676"/>
      <c r="H14" s="206">
        <f t="shared" si="2"/>
        <v>0</v>
      </c>
      <c r="I14" s="207">
        <f t="shared" si="3"/>
        <v>0</v>
      </c>
      <c r="J14" s="138" t="str">
        <f t="shared" si="0"/>
        <v/>
      </c>
      <c r="K14" s="138" t="str">
        <f t="shared" si="0"/>
        <v/>
      </c>
      <c r="N14" s="51" t="str">
        <f>IF('P25'!AE14=0,"",'P25'!AE14)</f>
        <v>zrno</v>
      </c>
      <c r="O14" s="32">
        <f>IF('P25'!AF14=0,0,'P25'!AF14)</f>
        <v>0.86</v>
      </c>
      <c r="P14" s="201">
        <f>IF('P25'!AG14=0,0,'P25'!AG14)</f>
        <v>17.2</v>
      </c>
      <c r="Q14" s="201">
        <f>IF('P25'!AH14=0,0,'P25'!AH14)</f>
        <v>3.4</v>
      </c>
      <c r="R14" s="201">
        <f>IF('P25'!AI14=0,0,'P25'!AI14)</f>
        <v>5.0999999999999996</v>
      </c>
      <c r="S14" s="141"/>
      <c r="T14" s="139">
        <f t="shared" si="1"/>
        <v>0</v>
      </c>
      <c r="U14" s="140">
        <f t="shared" si="1"/>
        <v>0</v>
      </c>
      <c r="V14" s="141"/>
      <c r="W14" s="141"/>
      <c r="X14" s="141"/>
    </row>
    <row r="15" spans="2:24" s="5" customFormat="1" ht="14.25" customHeight="1" x14ac:dyDescent="0.25">
      <c r="B15" s="689" t="s">
        <v>183</v>
      </c>
      <c r="C15" s="31" t="s">
        <v>178</v>
      </c>
      <c r="D15" s="205">
        <f>'P26'!D15</f>
        <v>0</v>
      </c>
      <c r="E15" s="675"/>
      <c r="F15" s="676"/>
      <c r="G15" s="676"/>
      <c r="H15" s="206">
        <f t="shared" si="2"/>
        <v>0</v>
      </c>
      <c r="I15" s="207">
        <f t="shared" si="3"/>
        <v>0</v>
      </c>
      <c r="J15" s="138" t="str">
        <f t="shared" si="0"/>
        <v/>
      </c>
      <c r="K15" s="138" t="str">
        <f t="shared" si="0"/>
        <v/>
      </c>
      <c r="N15" s="51" t="str">
        <f>IF('P25'!AE15=0,"",'P25'!AE15)</f>
        <v>zrno</v>
      </c>
      <c r="O15" s="32">
        <f>IF('P25'!AF15=0,0,'P25'!AF15)</f>
        <v>0.86</v>
      </c>
      <c r="P15" s="201">
        <f>IF('P25'!AG15=0,0,'P25'!AG15)</f>
        <v>15.1</v>
      </c>
      <c r="Q15" s="201">
        <f>IF('P25'!AH15=0,0,'P25'!AH15)</f>
        <v>2.8</v>
      </c>
      <c r="R15" s="201">
        <f>IF('P25'!AI15=0,0,'P25'!AI15)</f>
        <v>3.9</v>
      </c>
      <c r="S15" s="141"/>
      <c r="T15" s="139">
        <f t="shared" si="1"/>
        <v>0</v>
      </c>
      <c r="U15" s="140">
        <f t="shared" si="1"/>
        <v>0</v>
      </c>
      <c r="V15" s="141"/>
      <c r="W15" s="141"/>
      <c r="X15" s="141"/>
    </row>
    <row r="16" spans="2:24" s="5" customFormat="1" ht="14.25" customHeight="1" x14ac:dyDescent="0.25">
      <c r="B16" s="690"/>
      <c r="C16" s="31" t="s">
        <v>179</v>
      </c>
      <c r="D16" s="205">
        <f>'P26'!D16</f>
        <v>0</v>
      </c>
      <c r="E16" s="675"/>
      <c r="F16" s="676"/>
      <c r="G16" s="676"/>
      <c r="H16" s="206">
        <f t="shared" si="2"/>
        <v>0</v>
      </c>
      <c r="I16" s="207">
        <f t="shared" si="3"/>
        <v>0</v>
      </c>
      <c r="J16" s="138" t="str">
        <f t="shared" si="0"/>
        <v/>
      </c>
      <c r="K16" s="138" t="str">
        <f t="shared" si="0"/>
        <v/>
      </c>
      <c r="N16" s="51" t="str">
        <f>IF('P25'!AE16=0,"",'P25'!AE16)</f>
        <v>zrno</v>
      </c>
      <c r="O16" s="32">
        <f>IF('P25'!AF16=0,0,'P25'!AF16)</f>
        <v>0.86</v>
      </c>
      <c r="P16" s="201">
        <f>IF('P25'!AG16=0,0,'P25'!AG16)</f>
        <v>17.2</v>
      </c>
      <c r="Q16" s="201">
        <f>IF('P25'!AH16=0,0,'P25'!AH16)</f>
        <v>2.8</v>
      </c>
      <c r="R16" s="201">
        <f>IF('P25'!AI16=0,0,'P25'!AI16)</f>
        <v>3.9</v>
      </c>
      <c r="S16" s="141"/>
      <c r="T16" s="139">
        <f t="shared" si="1"/>
        <v>0</v>
      </c>
      <c r="U16" s="140">
        <f t="shared" si="1"/>
        <v>0</v>
      </c>
      <c r="V16" s="141"/>
      <c r="W16" s="141"/>
      <c r="X16" s="141"/>
    </row>
    <row r="17" spans="2:24" s="5" customFormat="1" ht="14.25" customHeight="1" x14ac:dyDescent="0.25">
      <c r="B17" s="158" t="s">
        <v>81</v>
      </c>
      <c r="C17" s="34"/>
      <c r="D17" s="205">
        <f>'P26'!D17</f>
        <v>0</v>
      </c>
      <c r="E17" s="675"/>
      <c r="F17" s="676"/>
      <c r="G17" s="676"/>
      <c r="H17" s="206">
        <f t="shared" si="2"/>
        <v>0</v>
      </c>
      <c r="I17" s="207">
        <f t="shared" si="3"/>
        <v>0</v>
      </c>
      <c r="J17" s="138" t="str">
        <f t="shared" si="0"/>
        <v/>
      </c>
      <c r="K17" s="138" t="str">
        <f t="shared" si="0"/>
        <v/>
      </c>
      <c r="N17" s="51" t="str">
        <f>IF('P25'!AE17=0,"",'P25'!AE17)</f>
        <v>zrno</v>
      </c>
      <c r="O17" s="32">
        <f>IF('P25'!AF17=0,0,'P25'!AF17)</f>
        <v>0.86</v>
      </c>
      <c r="P17" s="201">
        <f>IF('P25'!AG17=0,0,'P25'!AG17)</f>
        <v>18.600000000000001</v>
      </c>
      <c r="Q17" s="201">
        <f>IF('P25'!AH17=0,0,'P25'!AH17)</f>
        <v>4</v>
      </c>
      <c r="R17" s="201">
        <f>IF('P25'!AI17=0,0,'P25'!AI17)</f>
        <v>5.0999999999999996</v>
      </c>
      <c r="S17" s="141"/>
      <c r="T17" s="139">
        <f t="shared" si="1"/>
        <v>0</v>
      </c>
      <c r="U17" s="140">
        <f t="shared" si="1"/>
        <v>0</v>
      </c>
      <c r="V17" s="141"/>
      <c r="W17" s="141"/>
      <c r="X17" s="141"/>
    </row>
    <row r="18" spans="2:24" s="5" customFormat="1" ht="14.25" customHeight="1" x14ac:dyDescent="0.25">
      <c r="B18" s="158" t="s">
        <v>82</v>
      </c>
      <c r="C18" s="34"/>
      <c r="D18" s="205">
        <f>'P26'!D18</f>
        <v>0</v>
      </c>
      <c r="E18" s="675"/>
      <c r="F18" s="676"/>
      <c r="G18" s="676"/>
      <c r="H18" s="206">
        <f t="shared" si="2"/>
        <v>0</v>
      </c>
      <c r="I18" s="207">
        <f t="shared" si="3"/>
        <v>0</v>
      </c>
      <c r="J18" s="138" t="str">
        <f t="shared" si="0"/>
        <v/>
      </c>
      <c r="K18" s="138" t="str">
        <f t="shared" si="0"/>
        <v/>
      </c>
      <c r="N18" s="51" t="str">
        <f>IF('P25'!AE18=0,"",'P25'!AE18)</f>
        <v>zrno</v>
      </c>
      <c r="O18" s="32">
        <f>IF('P25'!AF18=0,0,'P25'!AF18)</f>
        <v>0.86</v>
      </c>
      <c r="P18" s="201">
        <f>IF('P25'!AG18=0,0,'P25'!AG18)</f>
        <v>17.899999999999999</v>
      </c>
      <c r="Q18" s="201">
        <f>IF('P25'!AH18=0,0,'P25'!AH18)</f>
        <v>3.9</v>
      </c>
      <c r="R18" s="201">
        <f>IF('P25'!AI18=0,0,'P25'!AI18)</f>
        <v>4.5999999999999996</v>
      </c>
      <c r="S18" s="141"/>
      <c r="T18" s="139">
        <f t="shared" si="1"/>
        <v>0</v>
      </c>
      <c r="U18" s="140">
        <f t="shared" si="1"/>
        <v>0</v>
      </c>
      <c r="V18" s="141"/>
      <c r="W18" s="141"/>
      <c r="X18" s="141"/>
    </row>
    <row r="19" spans="2:24" s="5" customFormat="1" ht="14.25" customHeight="1" x14ac:dyDescent="0.25">
      <c r="B19" s="158" t="s">
        <v>83</v>
      </c>
      <c r="C19" s="34"/>
      <c r="D19" s="205">
        <f>'P26'!D19</f>
        <v>0</v>
      </c>
      <c r="E19" s="675"/>
      <c r="F19" s="676"/>
      <c r="G19" s="676"/>
      <c r="H19" s="206">
        <f t="shared" si="2"/>
        <v>0</v>
      </c>
      <c r="I19" s="207">
        <f t="shared" si="3"/>
        <v>0</v>
      </c>
      <c r="J19" s="138" t="str">
        <f t="shared" si="0"/>
        <v/>
      </c>
      <c r="K19" s="138" t="str">
        <f t="shared" si="0"/>
        <v/>
      </c>
      <c r="N19" s="51" t="str">
        <f>IF('P25'!AE19=0,"",'P25'!AE19)</f>
        <v>zrno</v>
      </c>
      <c r="O19" s="32">
        <f>IF('P25'!AF19=0,0,'P25'!AF19)</f>
        <v>0.86</v>
      </c>
      <c r="P19" s="201">
        <f>IF('P25'!AG19=0,0,'P25'!AG19)</f>
        <v>15.8</v>
      </c>
      <c r="Q19" s="201">
        <f>IF('P25'!AH19=0,0,'P25'!AH19)</f>
        <v>3.5</v>
      </c>
      <c r="R19" s="201">
        <f>IF('P25'!AI19=0,0,'P25'!AI19)</f>
        <v>4.5999999999999996</v>
      </c>
      <c r="S19" s="141"/>
      <c r="T19" s="139">
        <f t="shared" si="1"/>
        <v>0</v>
      </c>
      <c r="U19" s="140">
        <f t="shared" si="1"/>
        <v>0</v>
      </c>
      <c r="V19" s="141"/>
      <c r="W19" s="141"/>
      <c r="X19" s="141"/>
    </row>
    <row r="20" spans="2:24" s="5" customFormat="1" ht="14.25" customHeight="1" x14ac:dyDescent="0.25">
      <c r="B20" s="158" t="s">
        <v>165</v>
      </c>
      <c r="C20" s="34"/>
      <c r="D20" s="205">
        <f>'P26'!D20</f>
        <v>0</v>
      </c>
      <c r="E20" s="675"/>
      <c r="F20" s="676"/>
      <c r="G20" s="676"/>
      <c r="H20" s="206">
        <f t="shared" si="2"/>
        <v>0</v>
      </c>
      <c r="I20" s="207">
        <f t="shared" si="3"/>
        <v>0</v>
      </c>
      <c r="J20" s="138" t="str">
        <f t="shared" si="0"/>
        <v/>
      </c>
      <c r="K20" s="138" t="str">
        <f t="shared" si="0"/>
        <v/>
      </c>
      <c r="N20" s="51" t="str">
        <f>IF('P25'!AE20=0,"",'P25'!AE20)</f>
        <v>zrno</v>
      </c>
      <c r="O20" s="32">
        <f>IF('P25'!AF20=0,0,'P25'!AF20)</f>
        <v>0.91</v>
      </c>
      <c r="P20" s="201">
        <f>IF('P25'!AG20=0,0,'P25'!AG20)</f>
        <v>17.899999999999999</v>
      </c>
      <c r="Q20" s="201">
        <f>IF('P25'!AH20=0,0,'P25'!AH20)</f>
        <v>2.8</v>
      </c>
      <c r="R20" s="201">
        <f>IF('P25'!AI20=0,0,'P25'!AI20)</f>
        <v>3.3</v>
      </c>
      <c r="S20" s="141"/>
      <c r="T20" s="139">
        <f t="shared" si="1"/>
        <v>0</v>
      </c>
      <c r="U20" s="140">
        <f t="shared" si="1"/>
        <v>0</v>
      </c>
      <c r="V20" s="141"/>
      <c r="W20" s="141"/>
      <c r="X20" s="141"/>
    </row>
    <row r="21" spans="2:24" s="5" customFormat="1" ht="14.25" customHeight="1" x14ac:dyDescent="0.25">
      <c r="B21" s="158" t="s">
        <v>432</v>
      </c>
      <c r="C21" s="34"/>
      <c r="D21" s="205">
        <f>'P26'!D21</f>
        <v>0</v>
      </c>
      <c r="E21" s="675"/>
      <c r="F21" s="676"/>
      <c r="G21" s="676"/>
      <c r="H21" s="206">
        <f t="shared" si="2"/>
        <v>0</v>
      </c>
      <c r="I21" s="207">
        <f t="shared" si="3"/>
        <v>0</v>
      </c>
      <c r="J21" s="138" t="str">
        <f t="shared" si="0"/>
        <v/>
      </c>
      <c r="K21" s="138" t="str">
        <f t="shared" si="0"/>
        <v/>
      </c>
      <c r="N21" s="51" t="str">
        <f>IF('P25'!AE21=0,"",'P25'!AE21)</f>
        <v>zrno</v>
      </c>
      <c r="O21" s="32">
        <f>IF('P25'!AF21=0,0,'P25'!AF21)</f>
        <v>0.86</v>
      </c>
      <c r="P21" s="201">
        <f>IF('P25'!AG21=0,0,'P25'!AG21)</f>
        <v>18</v>
      </c>
      <c r="Q21" s="201">
        <f>IF('P25'!AH21=0,0,'P25'!AH21)</f>
        <v>3</v>
      </c>
      <c r="R21" s="201">
        <f>IF('P25'!AI21=0,0,'P25'!AI21)</f>
        <v>4</v>
      </c>
      <c r="S21" s="141"/>
      <c r="T21" s="139">
        <f t="shared" si="1"/>
        <v>0</v>
      </c>
      <c r="U21" s="140">
        <f t="shared" si="1"/>
        <v>0</v>
      </c>
      <c r="V21" s="141"/>
      <c r="W21" s="141"/>
      <c r="X21" s="141"/>
    </row>
    <row r="22" spans="2:24" s="5" customFormat="1" ht="14.25" customHeight="1" x14ac:dyDescent="0.25">
      <c r="B22" s="158" t="s">
        <v>431</v>
      </c>
      <c r="C22" s="34"/>
      <c r="D22" s="205">
        <f>'P26'!D22</f>
        <v>0</v>
      </c>
      <c r="E22" s="675"/>
      <c r="F22" s="676"/>
      <c r="G22" s="676"/>
      <c r="H22" s="206">
        <f t="shared" si="2"/>
        <v>0</v>
      </c>
      <c r="I22" s="207">
        <f t="shared" si="3"/>
        <v>0</v>
      </c>
      <c r="J22" s="138" t="str">
        <f t="shared" si="0"/>
        <v/>
      </c>
      <c r="K22" s="138" t="str">
        <f t="shared" si="0"/>
        <v/>
      </c>
      <c r="N22" s="51" t="str">
        <f>IF('P25'!AE22=0,"",'P25'!AE22)</f>
        <v>zrno</v>
      </c>
      <c r="O22" s="32">
        <f>IF('P25'!AF22=0,0,'P25'!AF22)</f>
        <v>0.86</v>
      </c>
      <c r="P22" s="201">
        <f>IF('P25'!AG22=0,0,'P25'!AG22)</f>
        <v>20.7</v>
      </c>
      <c r="Q22" s="201">
        <f>IF('P25'!AH22=0,0,'P25'!AH22)</f>
        <v>3.4</v>
      </c>
      <c r="R22" s="201">
        <f>IF('P25'!AI22=0,0,'P25'!AI22)</f>
        <v>6.5</v>
      </c>
      <c r="S22" s="141"/>
      <c r="T22" s="139">
        <f t="shared" si="1"/>
        <v>0</v>
      </c>
      <c r="U22" s="140">
        <f t="shared" si="1"/>
        <v>0</v>
      </c>
      <c r="V22" s="141"/>
      <c r="W22" s="141"/>
      <c r="X22" s="141"/>
    </row>
    <row r="23" spans="2:24" s="5" customFormat="1" ht="14.25" customHeight="1" x14ac:dyDescent="0.25">
      <c r="B23" s="158" t="s">
        <v>262</v>
      </c>
      <c r="C23" s="34"/>
      <c r="D23" s="205">
        <f>'P26'!D23</f>
        <v>0</v>
      </c>
      <c r="E23" s="675"/>
      <c r="F23" s="676"/>
      <c r="G23" s="676"/>
      <c r="H23" s="206">
        <f t="shared" si="2"/>
        <v>0</v>
      </c>
      <c r="I23" s="207">
        <f t="shared" si="3"/>
        <v>0</v>
      </c>
      <c r="J23" s="138" t="str">
        <f t="shared" si="0"/>
        <v/>
      </c>
      <c r="K23" s="138" t="str">
        <f t="shared" si="0"/>
        <v/>
      </c>
      <c r="N23" s="51" t="str">
        <f>IF('P25'!AE23=0,"",'P25'!AE23)</f>
        <v>zrno</v>
      </c>
      <c r="O23" s="32">
        <f>IF('P25'!AF23=0,0,'P25'!AF23)</f>
        <v>0.86</v>
      </c>
      <c r="P23" s="201">
        <f>IF('P25'!AG23=0,0,'P25'!AG23)</f>
        <v>35.9</v>
      </c>
      <c r="Q23" s="201">
        <f>IF('P25'!AH23=0,0,'P25'!AH23)</f>
        <v>3.6</v>
      </c>
      <c r="R23" s="201">
        <f>IF('P25'!AI23=0,0,'P25'!AI23)</f>
        <v>8.4</v>
      </c>
      <c r="S23" s="141"/>
      <c r="T23" s="139">
        <f t="shared" si="1"/>
        <v>0</v>
      </c>
      <c r="U23" s="140">
        <f t="shared" si="1"/>
        <v>0</v>
      </c>
      <c r="V23" s="141"/>
      <c r="W23" s="141"/>
      <c r="X23" s="141"/>
    </row>
    <row r="24" spans="2:24" s="5" customFormat="1" ht="14.25" customHeight="1" x14ac:dyDescent="0.25">
      <c r="B24" s="158" t="s">
        <v>88</v>
      </c>
      <c r="C24" s="34"/>
      <c r="D24" s="205">
        <f>'P26'!D24</f>
        <v>0</v>
      </c>
      <c r="E24" s="675"/>
      <c r="F24" s="676"/>
      <c r="G24" s="676"/>
      <c r="H24" s="206">
        <f t="shared" si="2"/>
        <v>0</v>
      </c>
      <c r="I24" s="207">
        <f t="shared" si="3"/>
        <v>0</v>
      </c>
      <c r="J24" s="138" t="str">
        <f t="shared" si="0"/>
        <v/>
      </c>
      <c r="K24" s="138" t="str">
        <f t="shared" si="0"/>
        <v/>
      </c>
      <c r="N24" s="51" t="str">
        <f>IF('P25'!AE24=0,"",'P25'!AE24)</f>
        <v>zrno</v>
      </c>
      <c r="O24" s="32">
        <f>IF('P25'!AF24=0,0,'P25'!AF24)</f>
        <v>0.86</v>
      </c>
      <c r="P24" s="201">
        <f>IF('P25'!AG24=0,0,'P25'!AG24)</f>
        <v>55.6</v>
      </c>
      <c r="Q24" s="201">
        <f>IF('P25'!AH24=0,0,'P25'!AH24)</f>
        <v>7</v>
      </c>
      <c r="R24" s="201">
        <f>IF('P25'!AI24=0,0,'P25'!AI24)</f>
        <v>13.1</v>
      </c>
      <c r="S24" s="141"/>
      <c r="T24" s="139">
        <f t="shared" si="1"/>
        <v>0</v>
      </c>
      <c r="U24" s="140">
        <f t="shared" si="1"/>
        <v>0</v>
      </c>
      <c r="V24" s="141"/>
      <c r="W24" s="141"/>
      <c r="X24" s="141"/>
    </row>
    <row r="25" spans="2:24" s="5" customFormat="1" ht="14.25" customHeight="1" x14ac:dyDescent="0.25">
      <c r="B25" s="158" t="s">
        <v>263</v>
      </c>
      <c r="C25" s="34"/>
      <c r="D25" s="205">
        <f>'P26'!D25</f>
        <v>0</v>
      </c>
      <c r="E25" s="675"/>
      <c r="F25" s="676"/>
      <c r="G25" s="676"/>
      <c r="H25" s="206">
        <f t="shared" si="2"/>
        <v>0</v>
      </c>
      <c r="I25" s="207">
        <f t="shared" si="3"/>
        <v>0</v>
      </c>
      <c r="J25" s="138" t="str">
        <f t="shared" si="0"/>
        <v/>
      </c>
      <c r="K25" s="138" t="str">
        <f t="shared" si="0"/>
        <v/>
      </c>
      <c r="N25" s="51" t="str">
        <f>IF('P25'!AE25=0,"",'P25'!AE25)</f>
        <v>zrno</v>
      </c>
      <c r="O25" s="32">
        <f>IF('P25'!AF25=0,0,'P25'!AF25)</f>
        <v>0.86</v>
      </c>
      <c r="P25" s="201">
        <f>IF('P25'!AG25=0,0,'P25'!AG25)</f>
        <v>42.4</v>
      </c>
      <c r="Q25" s="201">
        <f>IF('P25'!AH25=0,0,'P25'!AH25)</f>
        <v>4.5999999999999996</v>
      </c>
      <c r="R25" s="201">
        <f>IF('P25'!AI25=0,0,'P25'!AI25)</f>
        <v>10.199999999999999</v>
      </c>
      <c r="S25" s="141"/>
      <c r="T25" s="139">
        <f t="shared" si="1"/>
        <v>0</v>
      </c>
      <c r="U25" s="140">
        <f t="shared" si="1"/>
        <v>0</v>
      </c>
      <c r="V25" s="141"/>
      <c r="W25" s="141"/>
      <c r="X25" s="141"/>
    </row>
    <row r="26" spans="2:24" s="5" customFormat="1" ht="14.25" customHeight="1" x14ac:dyDescent="0.25">
      <c r="B26" s="158" t="s">
        <v>435</v>
      </c>
      <c r="C26" s="34"/>
      <c r="D26" s="205">
        <f>'P26'!D26</f>
        <v>0</v>
      </c>
      <c r="E26" s="675"/>
      <c r="F26" s="676"/>
      <c r="G26" s="676"/>
      <c r="H26" s="206">
        <f t="shared" si="2"/>
        <v>0</v>
      </c>
      <c r="I26" s="207">
        <f t="shared" si="3"/>
        <v>0</v>
      </c>
      <c r="J26" s="138" t="str">
        <f t="shared" si="0"/>
        <v/>
      </c>
      <c r="K26" s="138" t="str">
        <f t="shared" si="0"/>
        <v/>
      </c>
      <c r="N26" s="51" t="str">
        <f>IF('P25'!AE26=0,"",'P25'!AE26)</f>
        <v>zrno</v>
      </c>
      <c r="O26" s="32">
        <f>IF('P25'!AF26=0,0,'P25'!AF26)</f>
        <v>0.86</v>
      </c>
      <c r="P26" s="201">
        <f>IF('P25'!AG26=0,0,'P25'!AG26)</f>
        <v>40</v>
      </c>
      <c r="Q26" s="201">
        <f>IF('P25'!AH26=0,0,'P25'!AH26)</f>
        <v>4</v>
      </c>
      <c r="R26" s="201">
        <f>IF('P25'!AI26=0,0,'P25'!AI26)</f>
        <v>10</v>
      </c>
      <c r="S26" s="141"/>
      <c r="T26" s="139">
        <f t="shared" si="1"/>
        <v>0</v>
      </c>
      <c r="U26" s="140">
        <f t="shared" si="1"/>
        <v>0</v>
      </c>
      <c r="V26" s="141"/>
      <c r="W26" s="141"/>
      <c r="X26" s="141"/>
    </row>
    <row r="27" spans="2:24" s="5" customFormat="1" ht="14.25" customHeight="1" x14ac:dyDescent="0.25">
      <c r="B27" s="689" t="s">
        <v>184</v>
      </c>
      <c r="C27" s="31" t="s">
        <v>182</v>
      </c>
      <c r="D27" s="205">
        <f>'P26'!D27</f>
        <v>0</v>
      </c>
      <c r="E27" s="675"/>
      <c r="F27" s="676"/>
      <c r="G27" s="676"/>
      <c r="H27" s="206">
        <f t="shared" si="2"/>
        <v>0</v>
      </c>
      <c r="I27" s="207">
        <f t="shared" si="3"/>
        <v>0</v>
      </c>
      <c r="J27" s="138" t="str">
        <f t="shared" si="0"/>
        <v/>
      </c>
      <c r="K27" s="138" t="str">
        <f t="shared" si="0"/>
        <v/>
      </c>
      <c r="N27" s="51" t="str">
        <f>IF('P25'!AE27=0,"",'P25'!AE27)</f>
        <v>hlízy</v>
      </c>
      <c r="O27" s="32">
        <f>IF('P25'!AF27=0,0,'P25'!AF27)</f>
        <v>0.18</v>
      </c>
      <c r="P27" s="201">
        <f>IF('P25'!AG27=0,0,'P25'!AG27)</f>
        <v>3</v>
      </c>
      <c r="Q27" s="201">
        <f>IF('P25'!AH27=0,0,'P25'!AH27)</f>
        <v>0.5</v>
      </c>
      <c r="R27" s="201">
        <f>IF('P25'!AI27=0,0,'P25'!AI27)</f>
        <v>4.4000000000000004</v>
      </c>
      <c r="S27" s="141"/>
      <c r="T27" s="139">
        <f t="shared" si="1"/>
        <v>0</v>
      </c>
      <c r="U27" s="140">
        <f t="shared" si="1"/>
        <v>0</v>
      </c>
      <c r="V27" s="141"/>
      <c r="W27" s="141"/>
      <c r="X27" s="141"/>
    </row>
    <row r="28" spans="2:24" s="5" customFormat="1" ht="14.25" customHeight="1" x14ac:dyDescent="0.25">
      <c r="B28" s="690"/>
      <c r="C28" s="31" t="s">
        <v>101</v>
      </c>
      <c r="D28" s="205">
        <f>'P26'!D28</f>
        <v>0</v>
      </c>
      <c r="E28" s="675"/>
      <c r="F28" s="676"/>
      <c r="G28" s="676"/>
      <c r="H28" s="206">
        <f t="shared" si="2"/>
        <v>0</v>
      </c>
      <c r="I28" s="207">
        <f t="shared" si="3"/>
        <v>0</v>
      </c>
      <c r="J28" s="138" t="str">
        <f t="shared" si="0"/>
        <v/>
      </c>
      <c r="K28" s="138" t="str">
        <f t="shared" si="0"/>
        <v/>
      </c>
      <c r="N28" s="51" t="str">
        <f>IF('P25'!AE28=0,"",'P25'!AE28)</f>
        <v>hlízy</v>
      </c>
      <c r="O28" s="32">
        <f>IF('P25'!AF28=0,0,'P25'!AF28)</f>
        <v>0.22</v>
      </c>
      <c r="P28" s="201">
        <f>IF('P25'!AG28=0,0,'P25'!AG28)</f>
        <v>3.5</v>
      </c>
      <c r="Q28" s="201">
        <f>IF('P25'!AH28=0,0,'P25'!AH28)</f>
        <v>0.5</v>
      </c>
      <c r="R28" s="201">
        <f>IF('P25'!AI28=0,0,'P25'!AI28)</f>
        <v>4.5</v>
      </c>
      <c r="S28" s="141"/>
      <c r="T28" s="139">
        <f t="shared" si="1"/>
        <v>0</v>
      </c>
      <c r="U28" s="140">
        <f t="shared" si="1"/>
        <v>0</v>
      </c>
      <c r="V28" s="141"/>
      <c r="W28" s="141"/>
      <c r="X28" s="141"/>
    </row>
    <row r="29" spans="2:24" s="5" customFormat="1" ht="14.25" customHeight="1" x14ac:dyDescent="0.25">
      <c r="B29" s="158" t="s">
        <v>223</v>
      </c>
      <c r="C29" s="34"/>
      <c r="D29" s="205">
        <f>'P26'!D29</f>
        <v>0</v>
      </c>
      <c r="E29" s="675"/>
      <c r="F29" s="676"/>
      <c r="G29" s="676"/>
      <c r="H29" s="206">
        <f t="shared" si="2"/>
        <v>0</v>
      </c>
      <c r="I29" s="207">
        <f t="shared" si="3"/>
        <v>0</v>
      </c>
      <c r="J29" s="138" t="str">
        <f t="shared" si="0"/>
        <v/>
      </c>
      <c r="K29" s="138" t="str">
        <f t="shared" si="0"/>
        <v/>
      </c>
      <c r="N29" s="51" t="str">
        <f>IF('P25'!AE29=0,"",'P25'!AE29)</f>
        <v>bulvy</v>
      </c>
      <c r="O29" s="32">
        <f>IF('P25'!AF29=0,0,'P25'!AF29)</f>
        <v>0.23</v>
      </c>
      <c r="P29" s="201">
        <f>IF('P25'!AG29=0,0,'P25'!AG29)</f>
        <v>1.8</v>
      </c>
      <c r="Q29" s="201">
        <f>IF('P25'!AH29=0,0,'P25'!AH29)</f>
        <v>0.3</v>
      </c>
      <c r="R29" s="201">
        <f>IF('P25'!AI29=0,0,'P25'!AI29)</f>
        <v>2</v>
      </c>
      <c r="S29" s="141"/>
      <c r="T29" s="139">
        <f t="shared" si="1"/>
        <v>0</v>
      </c>
      <c r="U29" s="140">
        <f t="shared" si="1"/>
        <v>0</v>
      </c>
      <c r="V29" s="141"/>
      <c r="W29" s="141"/>
      <c r="X29" s="141"/>
    </row>
    <row r="30" spans="2:24" s="5" customFormat="1" ht="14.25" customHeight="1" x14ac:dyDescent="0.25">
      <c r="B30" s="158" t="s">
        <v>224</v>
      </c>
      <c r="C30" s="34"/>
      <c r="D30" s="205">
        <f>'P26'!D30</f>
        <v>0</v>
      </c>
      <c r="E30" s="675"/>
      <c r="F30" s="676"/>
      <c r="G30" s="676"/>
      <c r="H30" s="206">
        <f t="shared" si="2"/>
        <v>0</v>
      </c>
      <c r="I30" s="207">
        <f t="shared" si="3"/>
        <v>0</v>
      </c>
      <c r="J30" s="138" t="str">
        <f t="shared" si="0"/>
        <v/>
      </c>
      <c r="K30" s="138" t="str">
        <f t="shared" si="0"/>
        <v/>
      </c>
      <c r="N30" s="51" t="str">
        <f>IF('P25'!AE30=0,"",'P25'!AE30)</f>
        <v>bulvy</v>
      </c>
      <c r="O30" s="32">
        <f>IF('P25'!AF30=0,0,'P25'!AF30)</f>
        <v>0.17</v>
      </c>
      <c r="P30" s="201">
        <f>IF('P25'!AG30=0,0,'P25'!AG30)</f>
        <v>1.4</v>
      </c>
      <c r="Q30" s="201">
        <f>IF('P25'!AH30=0,0,'P25'!AH30)</f>
        <v>0.3</v>
      </c>
      <c r="R30" s="201">
        <f>IF('P25'!AI30=0,0,'P25'!AI30)</f>
        <v>1.3</v>
      </c>
      <c r="S30" s="141"/>
      <c r="T30" s="139">
        <f t="shared" si="1"/>
        <v>0</v>
      </c>
      <c r="U30" s="140">
        <f t="shared" si="1"/>
        <v>0</v>
      </c>
      <c r="V30" s="141"/>
      <c r="W30" s="141"/>
      <c r="X30" s="141"/>
    </row>
    <row r="31" spans="2:24" s="5" customFormat="1" ht="14.25" customHeight="1" x14ac:dyDescent="0.25">
      <c r="B31" s="158" t="s">
        <v>436</v>
      </c>
      <c r="C31" s="34"/>
      <c r="D31" s="205">
        <f>'P26'!D31</f>
        <v>0</v>
      </c>
      <c r="E31" s="675"/>
      <c r="F31" s="676"/>
      <c r="G31" s="676"/>
      <c r="H31" s="206">
        <f t="shared" si="2"/>
        <v>0</v>
      </c>
      <c r="I31" s="207">
        <f t="shared" si="3"/>
        <v>0</v>
      </c>
      <c r="J31" s="138" t="str">
        <f t="shared" si="0"/>
        <v/>
      </c>
      <c r="K31" s="138" t="str">
        <f t="shared" si="0"/>
        <v/>
      </c>
      <c r="N31" s="51" t="str">
        <f>IF('P25'!AE31=0,"",'P25'!AE31)</f>
        <v>hlízy, bulvy</v>
      </c>
      <c r="O31" s="32">
        <f>IF('P25'!AF31=0,0,'P25'!AF31)</f>
        <v>0.22</v>
      </c>
      <c r="P31" s="201">
        <f>IF('P25'!AG31=0,0,'P25'!AG31)</f>
        <v>2.5</v>
      </c>
      <c r="Q31" s="201">
        <f>IF('P25'!AH31=0,0,'P25'!AH31)</f>
        <v>0.4</v>
      </c>
      <c r="R31" s="201">
        <f>IF('P25'!AI31=0,0,'P25'!AI31)</f>
        <v>3.5</v>
      </c>
      <c r="S31" s="141"/>
      <c r="T31" s="139">
        <f t="shared" si="1"/>
        <v>0</v>
      </c>
      <c r="U31" s="140">
        <f t="shared" si="1"/>
        <v>0</v>
      </c>
      <c r="V31" s="141"/>
      <c r="W31" s="141"/>
      <c r="X31" s="141"/>
    </row>
    <row r="32" spans="2:24" s="5" customFormat="1" ht="14.25" customHeight="1" x14ac:dyDescent="0.25">
      <c r="B32" s="158" t="s">
        <v>437</v>
      </c>
      <c r="C32" s="34"/>
      <c r="D32" s="205">
        <f>'P26'!D32</f>
        <v>0</v>
      </c>
      <c r="E32" s="675"/>
      <c r="F32" s="676"/>
      <c r="G32" s="676"/>
      <c r="H32" s="206">
        <f t="shared" si="2"/>
        <v>0</v>
      </c>
      <c r="I32" s="207">
        <f t="shared" si="3"/>
        <v>0</v>
      </c>
      <c r="J32" s="138" t="str">
        <f t="shared" si="0"/>
        <v/>
      </c>
      <c r="K32" s="138" t="str">
        <f t="shared" si="0"/>
        <v/>
      </c>
      <c r="N32" s="51" t="str">
        <f>IF('P25'!AE32=0,"",'P25'!AE32)</f>
        <v>semeno</v>
      </c>
      <c r="O32" s="32">
        <f>IF('P25'!AF32=0,0,'P25'!AF32)</f>
        <v>0.92</v>
      </c>
      <c r="P32" s="201">
        <f>IF('P25'!AG32=0,0,'P25'!AG32)</f>
        <v>34.200000000000003</v>
      </c>
      <c r="Q32" s="201">
        <f>IF('P25'!AH32=0,0,'P25'!AH32)</f>
        <v>7.2</v>
      </c>
      <c r="R32" s="201">
        <f>IF('P25'!AI32=0,0,'P25'!AI32)</f>
        <v>7.9</v>
      </c>
      <c r="S32" s="141"/>
      <c r="T32" s="139">
        <f t="shared" si="1"/>
        <v>0</v>
      </c>
      <c r="U32" s="140">
        <f t="shared" si="1"/>
        <v>0</v>
      </c>
      <c r="V32" s="141"/>
      <c r="W32" s="141"/>
      <c r="X32" s="141"/>
    </row>
    <row r="33" spans="2:24" s="5" customFormat="1" ht="14.25" customHeight="1" x14ac:dyDescent="0.25">
      <c r="B33" s="158" t="s">
        <v>89</v>
      </c>
      <c r="C33" s="34"/>
      <c r="D33" s="205">
        <f>'P26'!D33</f>
        <v>0</v>
      </c>
      <c r="E33" s="675"/>
      <c r="F33" s="676"/>
      <c r="G33" s="676"/>
      <c r="H33" s="206">
        <f t="shared" si="2"/>
        <v>0</v>
      </c>
      <c r="I33" s="207">
        <f t="shared" si="3"/>
        <v>0</v>
      </c>
      <c r="J33" s="138" t="str">
        <f t="shared" si="0"/>
        <v/>
      </c>
      <c r="K33" s="138" t="str">
        <f t="shared" si="0"/>
        <v/>
      </c>
      <c r="N33" s="51" t="str">
        <f>IF('P25'!AE33=0,"",'P25'!AE33)</f>
        <v>semeno</v>
      </c>
      <c r="O33" s="32">
        <f>IF('P25'!AF33=0,0,'P25'!AF33)</f>
        <v>0.92</v>
      </c>
      <c r="P33" s="201">
        <f>IF('P25'!AG33=0,0,'P25'!AG33)</f>
        <v>28</v>
      </c>
      <c r="Q33" s="201">
        <f>IF('P25'!AH33=0,0,'P25'!AH33)</f>
        <v>7</v>
      </c>
      <c r="R33" s="201">
        <f>IF('P25'!AI33=0,0,'P25'!AI33)</f>
        <v>19.899999999999999</v>
      </c>
      <c r="S33" s="141"/>
      <c r="T33" s="139">
        <f t="shared" si="1"/>
        <v>0</v>
      </c>
      <c r="U33" s="140">
        <f t="shared" si="1"/>
        <v>0</v>
      </c>
      <c r="V33" s="141"/>
      <c r="W33" s="141"/>
      <c r="X33" s="141"/>
    </row>
    <row r="34" spans="2:24" s="5" customFormat="1" ht="14.25" customHeight="1" x14ac:dyDescent="0.25">
      <c r="B34" s="158" t="s">
        <v>84</v>
      </c>
      <c r="C34" s="34"/>
      <c r="D34" s="205">
        <f>'P26'!D34</f>
        <v>0</v>
      </c>
      <c r="E34" s="675"/>
      <c r="F34" s="676"/>
      <c r="G34" s="676"/>
      <c r="H34" s="206">
        <f t="shared" si="2"/>
        <v>0</v>
      </c>
      <c r="I34" s="207">
        <f t="shared" si="3"/>
        <v>0</v>
      </c>
      <c r="J34" s="138" t="str">
        <f t="shared" si="0"/>
        <v/>
      </c>
      <c r="K34" s="138" t="str">
        <f t="shared" si="0"/>
        <v/>
      </c>
      <c r="N34" s="51" t="str">
        <f>IF('P25'!AE34=0,"",'P25'!AE34)</f>
        <v>semeno</v>
      </c>
      <c r="O34" s="32">
        <f>IF('P25'!AF34=0,0,'P25'!AF34)</f>
        <v>0.86</v>
      </c>
      <c r="P34" s="201">
        <f>IF('P25'!AG34=0,0,'P25'!AG34)</f>
        <v>54.6</v>
      </c>
      <c r="Q34" s="201">
        <f>IF('P25'!AH34=0,0,'P25'!AH34)</f>
        <v>7.3</v>
      </c>
      <c r="R34" s="201">
        <f>IF('P25'!AI34=0,0,'P25'!AI34)</f>
        <v>18.899999999999999</v>
      </c>
      <c r="S34" s="141"/>
      <c r="T34" s="139">
        <f t="shared" si="1"/>
        <v>0</v>
      </c>
      <c r="U34" s="140">
        <f t="shared" si="1"/>
        <v>0</v>
      </c>
      <c r="V34" s="141"/>
      <c r="W34" s="141"/>
      <c r="X34" s="141"/>
    </row>
    <row r="35" spans="2:24" s="5" customFormat="1" ht="14.25" customHeight="1" x14ac:dyDescent="0.25">
      <c r="B35" s="158" t="s">
        <v>85</v>
      </c>
      <c r="C35" s="34"/>
      <c r="D35" s="205">
        <f>'P26'!D35</f>
        <v>0</v>
      </c>
      <c r="E35" s="675"/>
      <c r="F35" s="676"/>
      <c r="G35" s="676"/>
      <c r="H35" s="206">
        <f t="shared" si="2"/>
        <v>0</v>
      </c>
      <c r="I35" s="207">
        <f t="shared" si="3"/>
        <v>0</v>
      </c>
      <c r="J35" s="138" t="str">
        <f t="shared" si="0"/>
        <v/>
      </c>
      <c r="K35" s="138" t="str">
        <f t="shared" si="0"/>
        <v/>
      </c>
      <c r="N35" s="51" t="str">
        <f>IF('P25'!AE35=0,"",'P25'!AE35)</f>
        <v>semeno</v>
      </c>
      <c r="O35" s="32">
        <f>IF('P25'!AF35=0,0,'P25'!AF35)</f>
        <v>0.92</v>
      </c>
      <c r="P35" s="201">
        <f>IF('P25'!AG35=0,0,'P25'!AG35)</f>
        <v>33.200000000000003</v>
      </c>
      <c r="Q35" s="201">
        <f>IF('P25'!AH35=0,0,'P25'!AH35)</f>
        <v>7.6</v>
      </c>
      <c r="R35" s="201">
        <f>IF('P25'!AI35=0,0,'P25'!AI35)</f>
        <v>8.1999999999999993</v>
      </c>
      <c r="S35" s="141"/>
      <c r="T35" s="139">
        <f t="shared" si="1"/>
        <v>0</v>
      </c>
      <c r="U35" s="140">
        <f t="shared" si="1"/>
        <v>0</v>
      </c>
      <c r="V35" s="141"/>
      <c r="W35" s="141"/>
      <c r="X35" s="141"/>
    </row>
    <row r="36" spans="2:24" s="5" customFormat="1" ht="14.25" customHeight="1" x14ac:dyDescent="0.25">
      <c r="B36" s="158" t="s">
        <v>90</v>
      </c>
      <c r="C36" s="34"/>
      <c r="D36" s="205">
        <f>'P26'!D36</f>
        <v>0</v>
      </c>
      <c r="E36" s="675"/>
      <c r="F36" s="676"/>
      <c r="G36" s="676"/>
      <c r="H36" s="206">
        <f t="shared" si="2"/>
        <v>0</v>
      </c>
      <c r="I36" s="207">
        <f t="shared" si="3"/>
        <v>0</v>
      </c>
      <c r="J36" s="138" t="str">
        <f t="shared" si="0"/>
        <v/>
      </c>
      <c r="K36" s="138" t="str">
        <f t="shared" si="0"/>
        <v/>
      </c>
      <c r="N36" s="51" t="str">
        <f>IF('P25'!AE36=0,"",'P25'!AE36)</f>
        <v>semeno</v>
      </c>
      <c r="O36" s="32">
        <f>IF('P25'!AF36=0,0,'P25'!AF36)</f>
        <v>0.92</v>
      </c>
      <c r="P36" s="201">
        <f>IF('P25'!AG36=0,0,'P25'!AG36)</f>
        <v>50</v>
      </c>
      <c r="Q36" s="201">
        <f>IF('P25'!AH36=0,0,'P25'!AH36)</f>
        <v>7.7</v>
      </c>
      <c r="R36" s="201">
        <f>IF('P25'!AI36=0,0,'P25'!AI36)</f>
        <v>7.7</v>
      </c>
      <c r="S36" s="141"/>
      <c r="T36" s="139">
        <f t="shared" si="1"/>
        <v>0</v>
      </c>
      <c r="U36" s="140">
        <f t="shared" si="1"/>
        <v>0</v>
      </c>
      <c r="V36" s="141"/>
      <c r="W36" s="141"/>
      <c r="X36" s="141"/>
    </row>
    <row r="37" spans="2:24" s="5" customFormat="1" ht="14.25" customHeight="1" x14ac:dyDescent="0.25">
      <c r="B37" s="158" t="s">
        <v>91</v>
      </c>
      <c r="C37" s="34"/>
      <c r="D37" s="205">
        <f>'P26'!D37</f>
        <v>0</v>
      </c>
      <c r="E37" s="675"/>
      <c r="F37" s="676"/>
      <c r="G37" s="676"/>
      <c r="H37" s="206">
        <f t="shared" si="2"/>
        <v>0</v>
      </c>
      <c r="I37" s="207">
        <f t="shared" si="3"/>
        <v>0</v>
      </c>
      <c r="J37" s="138" t="str">
        <f t="shared" si="0"/>
        <v/>
      </c>
      <c r="K37" s="138" t="str">
        <f t="shared" si="0"/>
        <v/>
      </c>
      <c r="N37" s="51" t="str">
        <f>IF('P25'!AE37=0,"",'P25'!AE37)</f>
        <v>semeno</v>
      </c>
      <c r="O37" s="32">
        <f>IF('P25'!AF37=0,0,'P25'!AF37)</f>
        <v>0.92</v>
      </c>
      <c r="P37" s="201">
        <f>IF('P25'!AG37=0,0,'P25'!AG37)</f>
        <v>33.6</v>
      </c>
      <c r="Q37" s="201">
        <f>IF('P25'!AH37=0,0,'P25'!AH37)</f>
        <v>6.6</v>
      </c>
      <c r="R37" s="201">
        <f>IF('P25'!AI37=0,0,'P25'!AI37)</f>
        <v>8.3000000000000007</v>
      </c>
      <c r="S37" s="141"/>
      <c r="T37" s="139">
        <f t="shared" si="1"/>
        <v>0</v>
      </c>
      <c r="U37" s="140">
        <f t="shared" si="1"/>
        <v>0</v>
      </c>
      <c r="V37" s="141"/>
      <c r="W37" s="141"/>
      <c r="X37" s="141"/>
    </row>
    <row r="38" spans="2:24" s="5" customFormat="1" ht="14.25" customHeight="1" x14ac:dyDescent="0.25">
      <c r="B38" s="158" t="s">
        <v>86</v>
      </c>
      <c r="C38" s="34"/>
      <c r="D38" s="205">
        <f>'P26'!D38</f>
        <v>0</v>
      </c>
      <c r="E38" s="675"/>
      <c r="F38" s="676"/>
      <c r="G38" s="676"/>
      <c r="H38" s="206">
        <f t="shared" si="2"/>
        <v>0</v>
      </c>
      <c r="I38" s="207">
        <f t="shared" si="3"/>
        <v>0</v>
      </c>
      <c r="J38" s="138" t="str">
        <f t="shared" si="0"/>
        <v/>
      </c>
      <c r="K38" s="138" t="str">
        <f t="shared" si="0"/>
        <v/>
      </c>
      <c r="N38" s="51" t="str">
        <f>IF('P25'!AE38=0,"",'P25'!AE38)</f>
        <v>semeno</v>
      </c>
      <c r="O38" s="32">
        <f>IF('P25'!AF38=0,0,'P25'!AF38)</f>
        <v>0.92</v>
      </c>
      <c r="P38" s="201">
        <f>IF('P25'!AG38=0,0,'P25'!AG38)</f>
        <v>24.9</v>
      </c>
      <c r="Q38" s="201">
        <f>IF('P25'!AH38=0,0,'P25'!AH38)</f>
        <v>4.5999999999999996</v>
      </c>
      <c r="R38" s="201">
        <f>IF('P25'!AI38=0,0,'P25'!AI38)</f>
        <v>5.8</v>
      </c>
      <c r="S38" s="141"/>
      <c r="T38" s="139">
        <f t="shared" si="1"/>
        <v>0</v>
      </c>
      <c r="U38" s="140">
        <f t="shared" si="1"/>
        <v>0</v>
      </c>
      <c r="V38" s="141"/>
      <c r="W38" s="141"/>
      <c r="X38" s="141"/>
    </row>
    <row r="39" spans="2:24" s="5" customFormat="1" ht="14.25" customHeight="1" x14ac:dyDescent="0.25">
      <c r="B39" s="158" t="s">
        <v>438</v>
      </c>
      <c r="C39" s="34"/>
      <c r="D39" s="205">
        <f>'P26'!D39</f>
        <v>0</v>
      </c>
      <c r="E39" s="675"/>
      <c r="F39" s="676"/>
      <c r="G39" s="676"/>
      <c r="H39" s="206">
        <f t="shared" si="2"/>
        <v>0</v>
      </c>
      <c r="I39" s="207">
        <f t="shared" si="3"/>
        <v>0</v>
      </c>
      <c r="J39" s="138" t="str">
        <f t="shared" si="0"/>
        <v/>
      </c>
      <c r="K39" s="138" t="str">
        <f t="shared" si="0"/>
        <v/>
      </c>
      <c r="N39" s="51" t="str">
        <f>IF('P25'!AE39=0,"",'P25'!AE39)</f>
        <v>semeno</v>
      </c>
      <c r="O39" s="32">
        <f>IF('P25'!AF39=0,0,'P25'!AF39)</f>
        <v>0.92</v>
      </c>
      <c r="P39" s="201">
        <f>IF('P25'!AG39=0,0,'P25'!AG39)</f>
        <v>33</v>
      </c>
      <c r="Q39" s="201">
        <f>IF('P25'!AH39=0,0,'P25'!AH39)</f>
        <v>7</v>
      </c>
      <c r="R39" s="201">
        <f>IF('P25'!AI39=0,0,'P25'!AI39)</f>
        <v>8</v>
      </c>
      <c r="S39" s="141"/>
      <c r="T39" s="139">
        <f t="shared" si="1"/>
        <v>0</v>
      </c>
      <c r="U39" s="140">
        <f t="shared" si="1"/>
        <v>0</v>
      </c>
      <c r="V39" s="141"/>
      <c r="W39" s="141"/>
      <c r="X39" s="141"/>
    </row>
    <row r="40" spans="2:24" s="5" customFormat="1" ht="14.25" customHeight="1" x14ac:dyDescent="0.25">
      <c r="B40" s="158" t="s">
        <v>142</v>
      </c>
      <c r="C40" s="34"/>
      <c r="D40" s="205">
        <f>'P26'!D40</f>
        <v>0</v>
      </c>
      <c r="E40" s="675"/>
      <c r="F40" s="675"/>
      <c r="G40" s="675"/>
      <c r="H40" s="206">
        <f t="shared" si="2"/>
        <v>0</v>
      </c>
      <c r="I40" s="207">
        <f t="shared" si="3"/>
        <v>0</v>
      </c>
      <c r="J40" s="138" t="str">
        <f t="shared" si="0"/>
        <v/>
      </c>
      <c r="K40" s="138" t="str">
        <f t="shared" si="0"/>
        <v/>
      </c>
      <c r="N40" s="51" t="str">
        <f>IF('P25'!AE40=0,"",'P25'!AE40)</f>
        <v>semeno</v>
      </c>
      <c r="O40" s="32">
        <f>IF('P25'!AF40=0,0,'P25'!AF40)</f>
        <v>0.92</v>
      </c>
      <c r="P40" s="201">
        <f>IF('P25'!AG40=0,0,'P25'!AG40)</f>
        <v>33</v>
      </c>
      <c r="Q40" s="201">
        <f>IF('P25'!AH40=0,0,'P25'!AH40)</f>
        <v>7</v>
      </c>
      <c r="R40" s="201">
        <f>IF('P25'!AI40=0,0,'P25'!AI40)</f>
        <v>8</v>
      </c>
      <c r="S40" s="141"/>
      <c r="T40" s="139">
        <f t="shared" si="1"/>
        <v>0</v>
      </c>
      <c r="U40" s="140">
        <f t="shared" si="1"/>
        <v>0</v>
      </c>
      <c r="V40" s="141"/>
      <c r="W40" s="141"/>
      <c r="X40" s="141"/>
    </row>
    <row r="41" spans="2:24" s="5" customFormat="1" ht="14.25" customHeight="1" x14ac:dyDescent="0.25">
      <c r="B41" s="158" t="s">
        <v>185</v>
      </c>
      <c r="C41" s="35" t="s">
        <v>177</v>
      </c>
      <c r="D41" s="205">
        <f>'P26'!D41</f>
        <v>0</v>
      </c>
      <c r="E41" s="675"/>
      <c r="F41" s="675"/>
      <c r="G41" s="675"/>
      <c r="H41" s="206">
        <f t="shared" si="2"/>
        <v>0</v>
      </c>
      <c r="I41" s="207">
        <f t="shared" si="3"/>
        <v>0</v>
      </c>
      <c r="J41" s="138" t="str">
        <f t="shared" ref="J41:K71" si="4">IF(T41&lt;0,"!","")</f>
        <v/>
      </c>
      <c r="K41" s="138" t="str">
        <f t="shared" si="4"/>
        <v/>
      </c>
      <c r="N41" s="51" t="str">
        <f>IF('P25'!AE41=0,"",'P25'!AE41)</f>
        <v>zelená hmota</v>
      </c>
      <c r="O41" s="32">
        <f>IF('P25'!AF41=0,0,'P25'!AF41)</f>
        <v>0.35</v>
      </c>
      <c r="P41" s="201">
        <f>IF('P25'!AG41=0,0,'P25'!AG41)</f>
        <v>4.7</v>
      </c>
      <c r="Q41" s="201">
        <f>IF('P25'!AH41=0,0,'P25'!AH41)</f>
        <v>0.7</v>
      </c>
      <c r="R41" s="201">
        <f>IF('P25'!AI41=0,0,'P25'!AI41)</f>
        <v>4.4000000000000004</v>
      </c>
      <c r="S41" s="141"/>
      <c r="T41" s="139">
        <f t="shared" ref="T41:U71" si="5">D41-F41</f>
        <v>0</v>
      </c>
      <c r="U41" s="140">
        <f t="shared" si="5"/>
        <v>0</v>
      </c>
      <c r="V41" s="141"/>
      <c r="W41" s="141"/>
      <c r="X41" s="141"/>
    </row>
    <row r="42" spans="2:24" s="5" customFormat="1" ht="14.25" customHeight="1" x14ac:dyDescent="0.25">
      <c r="B42" s="158" t="s">
        <v>443</v>
      </c>
      <c r="C42" s="35" t="s">
        <v>177</v>
      </c>
      <c r="D42" s="205">
        <f>'P26'!D42</f>
        <v>0</v>
      </c>
      <c r="E42" s="675"/>
      <c r="F42" s="675"/>
      <c r="G42" s="675"/>
      <c r="H42" s="206">
        <f t="shared" si="2"/>
        <v>0</v>
      </c>
      <c r="I42" s="207">
        <f t="shared" si="3"/>
        <v>0</v>
      </c>
      <c r="J42" s="138" t="str">
        <f t="shared" si="4"/>
        <v/>
      </c>
      <c r="K42" s="138" t="str">
        <f t="shared" si="4"/>
        <v/>
      </c>
      <c r="N42" s="51" t="str">
        <f>IF('P25'!AE42=0,"",'P25'!AE42)</f>
        <v>zelená hmota</v>
      </c>
      <c r="O42" s="32">
        <f>IF('P25'!AF42=0,0,'P25'!AF42)</f>
        <v>0.35</v>
      </c>
      <c r="P42" s="201">
        <f>IF('P25'!AG42=0,0,'P25'!AG42)</f>
        <v>4.7</v>
      </c>
      <c r="Q42" s="201">
        <f>IF('P25'!AH42=0,0,'P25'!AH42)</f>
        <v>0.7</v>
      </c>
      <c r="R42" s="201">
        <f>IF('P25'!AI42=0,0,'P25'!AI42)</f>
        <v>4.4000000000000004</v>
      </c>
      <c r="S42" s="141"/>
      <c r="T42" s="139">
        <f t="shared" si="5"/>
        <v>0</v>
      </c>
      <c r="U42" s="140">
        <f t="shared" si="5"/>
        <v>0</v>
      </c>
      <c r="V42" s="141"/>
      <c r="W42" s="141"/>
      <c r="X42" s="141"/>
    </row>
    <row r="43" spans="2:24" s="5" customFormat="1" ht="14.25" customHeight="1" x14ac:dyDescent="0.25">
      <c r="B43" s="158" t="s">
        <v>154</v>
      </c>
      <c r="C43" s="35" t="s">
        <v>177</v>
      </c>
      <c r="D43" s="205">
        <f>'P26'!D43</f>
        <v>0</v>
      </c>
      <c r="E43" s="675"/>
      <c r="F43" s="675"/>
      <c r="G43" s="675"/>
      <c r="H43" s="206">
        <f t="shared" si="2"/>
        <v>0</v>
      </c>
      <c r="I43" s="207">
        <f t="shared" si="3"/>
        <v>0</v>
      </c>
      <c r="J43" s="138" t="str">
        <f t="shared" si="4"/>
        <v/>
      </c>
      <c r="K43" s="138" t="str">
        <f t="shared" si="4"/>
        <v/>
      </c>
      <c r="N43" s="51" t="str">
        <f>IF('P25'!AE43=0,"",'P25'!AE43)</f>
        <v>zelená hmota</v>
      </c>
      <c r="O43" s="32">
        <f>IF('P25'!AF43=0,0,'P25'!AF43)</f>
        <v>0.35</v>
      </c>
      <c r="P43" s="201">
        <f>IF('P25'!AG43=0,0,'P25'!AG43)</f>
        <v>4.4000000000000004</v>
      </c>
      <c r="Q43" s="201">
        <f>IF('P25'!AH43=0,0,'P25'!AH43)</f>
        <v>0.7</v>
      </c>
      <c r="R43" s="201">
        <f>IF('P25'!AI43=0,0,'P25'!AI43)</f>
        <v>4</v>
      </c>
      <c r="S43" s="141"/>
      <c r="T43" s="139">
        <f t="shared" si="5"/>
        <v>0</v>
      </c>
      <c r="U43" s="140">
        <f t="shared" si="5"/>
        <v>0</v>
      </c>
      <c r="V43" s="141"/>
      <c r="W43" s="141"/>
      <c r="X43" s="141"/>
    </row>
    <row r="44" spans="2:24" s="5" customFormat="1" ht="14.25" customHeight="1" x14ac:dyDescent="0.25">
      <c r="B44" s="158" t="s">
        <v>442</v>
      </c>
      <c r="C44" s="35" t="s">
        <v>205</v>
      </c>
      <c r="D44" s="205">
        <f>'P26'!D44</f>
        <v>0</v>
      </c>
      <c r="E44" s="675"/>
      <c r="F44" s="675"/>
      <c r="G44" s="675"/>
      <c r="H44" s="206">
        <f t="shared" si="2"/>
        <v>0</v>
      </c>
      <c r="I44" s="207">
        <f t="shared" si="3"/>
        <v>0</v>
      </c>
      <c r="J44" s="138" t="str">
        <f t="shared" si="4"/>
        <v/>
      </c>
      <c r="K44" s="138" t="str">
        <f t="shared" si="4"/>
        <v/>
      </c>
      <c r="N44" s="51" t="str">
        <f>IF('P25'!AE44=0,"",'P25'!AE44)</f>
        <v>zelená hmota</v>
      </c>
      <c r="O44" s="32">
        <f>IF('P25'!AF44=0,0,'P25'!AF44)</f>
        <v>0.17</v>
      </c>
      <c r="P44" s="201">
        <f>IF('P25'!AG44=0,0,'P25'!AG44)</f>
        <v>4.4000000000000004</v>
      </c>
      <c r="Q44" s="201">
        <f>IF('P25'!AH44=0,0,'P25'!AH44)</f>
        <v>0.6</v>
      </c>
      <c r="R44" s="201">
        <f>IF('P25'!AI44=0,0,'P25'!AI44)</f>
        <v>4.7</v>
      </c>
      <c r="S44" s="141"/>
      <c r="T44" s="139">
        <f t="shared" si="5"/>
        <v>0</v>
      </c>
      <c r="U44" s="140">
        <f t="shared" si="5"/>
        <v>0</v>
      </c>
      <c r="V44" s="141"/>
      <c r="W44" s="141"/>
      <c r="X44" s="141"/>
    </row>
    <row r="45" spans="2:24" s="5" customFormat="1" ht="14.25" customHeight="1" x14ac:dyDescent="0.25">
      <c r="B45" s="158" t="s">
        <v>155</v>
      </c>
      <c r="C45" s="35" t="s">
        <v>205</v>
      </c>
      <c r="D45" s="205">
        <f>'P26'!D45</f>
        <v>0</v>
      </c>
      <c r="E45" s="675"/>
      <c r="F45" s="675"/>
      <c r="G45" s="675"/>
      <c r="H45" s="206">
        <f t="shared" si="2"/>
        <v>0</v>
      </c>
      <c r="I45" s="207">
        <f t="shared" si="3"/>
        <v>0</v>
      </c>
      <c r="J45" s="138" t="str">
        <f t="shared" si="4"/>
        <v/>
      </c>
      <c r="K45" s="138" t="str">
        <f t="shared" si="4"/>
        <v/>
      </c>
      <c r="N45" s="51" t="str">
        <f>IF('P25'!AE45=0,"",'P25'!AE45)</f>
        <v>zelená hmota</v>
      </c>
      <c r="O45" s="32">
        <f>IF('P25'!AF45=0,0,'P25'!AF45)</f>
        <v>0.17</v>
      </c>
      <c r="P45" s="201">
        <f>IF('P25'!AG45=0,0,'P25'!AG45)</f>
        <v>4.5999999999999996</v>
      </c>
      <c r="Q45" s="201">
        <f>IF('P25'!AH45=0,0,'P25'!AH45)</f>
        <v>0.6</v>
      </c>
      <c r="R45" s="201">
        <f>IF('P25'!AI45=0,0,'P25'!AI45)</f>
        <v>3.7</v>
      </c>
      <c r="S45" s="141"/>
      <c r="T45" s="139">
        <f t="shared" si="5"/>
        <v>0</v>
      </c>
      <c r="U45" s="140">
        <f t="shared" si="5"/>
        <v>0</v>
      </c>
      <c r="V45" s="141"/>
      <c r="W45" s="141"/>
      <c r="X45" s="141"/>
    </row>
    <row r="46" spans="2:24" s="5" customFormat="1" ht="14.25" customHeight="1" x14ac:dyDescent="0.25">
      <c r="B46" s="158" t="s">
        <v>156</v>
      </c>
      <c r="C46" s="35" t="s">
        <v>205</v>
      </c>
      <c r="D46" s="205">
        <f>'P26'!D46</f>
        <v>0</v>
      </c>
      <c r="E46" s="675"/>
      <c r="F46" s="675"/>
      <c r="G46" s="675"/>
      <c r="H46" s="206">
        <f t="shared" si="2"/>
        <v>0</v>
      </c>
      <c r="I46" s="207">
        <f t="shared" si="3"/>
        <v>0</v>
      </c>
      <c r="J46" s="138" t="str">
        <f t="shared" si="4"/>
        <v/>
      </c>
      <c r="K46" s="138" t="str">
        <f t="shared" si="4"/>
        <v/>
      </c>
      <c r="N46" s="51" t="str">
        <f>IF('P25'!AE46=0,"",'P25'!AE46)</f>
        <v>zelená hmota</v>
      </c>
      <c r="O46" s="32">
        <f>IF('P25'!AF46=0,0,'P25'!AF46)</f>
        <v>0.17</v>
      </c>
      <c r="P46" s="201">
        <f>IF('P25'!AG46=0,0,'P25'!AG46)</f>
        <v>3.8</v>
      </c>
      <c r="Q46" s="201">
        <f>IF('P25'!AH46=0,0,'P25'!AH46)</f>
        <v>0.5</v>
      </c>
      <c r="R46" s="201">
        <f>IF('P25'!AI46=0,0,'P25'!AI46)</f>
        <v>3.3</v>
      </c>
      <c r="S46" s="141"/>
      <c r="T46" s="139">
        <f t="shared" si="5"/>
        <v>0</v>
      </c>
      <c r="U46" s="140">
        <f t="shared" si="5"/>
        <v>0</v>
      </c>
      <c r="V46" s="141"/>
      <c r="W46" s="141"/>
      <c r="X46" s="141"/>
    </row>
    <row r="47" spans="2:24" s="5" customFormat="1" ht="14.25" customHeight="1" x14ac:dyDescent="0.25">
      <c r="B47" s="158" t="s">
        <v>148</v>
      </c>
      <c r="C47" s="35" t="s">
        <v>205</v>
      </c>
      <c r="D47" s="205">
        <f>'P26'!D47</f>
        <v>0</v>
      </c>
      <c r="E47" s="675"/>
      <c r="F47" s="675"/>
      <c r="G47" s="675"/>
      <c r="H47" s="206">
        <f t="shared" si="2"/>
        <v>0</v>
      </c>
      <c r="I47" s="207">
        <f t="shared" si="3"/>
        <v>0</v>
      </c>
      <c r="J47" s="138" t="str">
        <f t="shared" si="4"/>
        <v/>
      </c>
      <c r="K47" s="138" t="str">
        <f t="shared" si="4"/>
        <v/>
      </c>
      <c r="N47" s="51" t="str">
        <f>IF('P25'!AE47=0,"",'P25'!AE47)</f>
        <v>zelená hmota</v>
      </c>
      <c r="O47" s="32">
        <f>IF('P25'!AF47=0,0,'P25'!AF47)</f>
        <v>0.17</v>
      </c>
      <c r="P47" s="201">
        <f>IF('P25'!AG47=0,0,'P25'!AG47)</f>
        <v>4</v>
      </c>
      <c r="Q47" s="201">
        <f>IF('P25'!AH47=0,0,'P25'!AH47)</f>
        <v>0.6</v>
      </c>
      <c r="R47" s="201">
        <f>IF('P25'!AI47=0,0,'P25'!AI47)</f>
        <v>4.5</v>
      </c>
      <c r="S47" s="141"/>
      <c r="T47" s="139">
        <f t="shared" si="5"/>
        <v>0</v>
      </c>
      <c r="U47" s="140">
        <f t="shared" si="5"/>
        <v>0</v>
      </c>
      <c r="V47" s="141"/>
      <c r="W47" s="141"/>
      <c r="X47" s="141"/>
    </row>
    <row r="48" spans="2:24" s="5" customFormat="1" ht="14.25" customHeight="1" x14ac:dyDescent="0.25">
      <c r="B48" s="158" t="s">
        <v>157</v>
      </c>
      <c r="C48" s="35" t="s">
        <v>205</v>
      </c>
      <c r="D48" s="205">
        <f>'P26'!D48</f>
        <v>0</v>
      </c>
      <c r="E48" s="675"/>
      <c r="F48" s="675"/>
      <c r="G48" s="675"/>
      <c r="H48" s="206">
        <f t="shared" si="2"/>
        <v>0</v>
      </c>
      <c r="I48" s="207">
        <f t="shared" si="3"/>
        <v>0</v>
      </c>
      <c r="J48" s="138" t="str">
        <f t="shared" si="4"/>
        <v/>
      </c>
      <c r="K48" s="138" t="str">
        <f t="shared" si="4"/>
        <v/>
      </c>
      <c r="N48" s="51" t="str">
        <f>IF('P25'!AE48=0,"",'P25'!AE48)</f>
        <v>zelená hmota</v>
      </c>
      <c r="O48" s="32">
        <f>IF('P25'!AF48=0,0,'P25'!AF48)</f>
        <v>0.17</v>
      </c>
      <c r="P48" s="201">
        <f>IF('P25'!AG48=0,0,'P25'!AG48)</f>
        <v>4.7</v>
      </c>
      <c r="Q48" s="201">
        <f>IF('P25'!AH48=0,0,'P25'!AH48)</f>
        <v>0.5</v>
      </c>
      <c r="R48" s="201">
        <f>IF('P25'!AI48=0,0,'P25'!AI48)</f>
        <v>4.2</v>
      </c>
      <c r="S48" s="141"/>
      <c r="T48" s="139">
        <f t="shared" si="5"/>
        <v>0</v>
      </c>
      <c r="U48" s="140">
        <f t="shared" si="5"/>
        <v>0</v>
      </c>
      <c r="V48" s="141"/>
      <c r="W48" s="141"/>
      <c r="X48" s="141"/>
    </row>
    <row r="49" spans="2:24" s="5" customFormat="1" ht="14.25" customHeight="1" x14ac:dyDescent="0.25">
      <c r="B49" s="158" t="s">
        <v>166</v>
      </c>
      <c r="C49" s="35" t="s">
        <v>205</v>
      </c>
      <c r="D49" s="205">
        <f>'P26'!D49</f>
        <v>0</v>
      </c>
      <c r="E49" s="675"/>
      <c r="F49" s="675"/>
      <c r="G49" s="675"/>
      <c r="H49" s="206">
        <f t="shared" si="2"/>
        <v>0</v>
      </c>
      <c r="I49" s="207">
        <f t="shared" si="3"/>
        <v>0</v>
      </c>
      <c r="J49" s="138" t="str">
        <f t="shared" si="4"/>
        <v/>
      </c>
      <c r="K49" s="138" t="str">
        <f t="shared" si="4"/>
        <v/>
      </c>
      <c r="N49" s="51" t="str">
        <f>IF('P25'!AE49=0,"",'P25'!AE49)</f>
        <v>zelená hmota</v>
      </c>
      <c r="O49" s="32">
        <f>IF('P25'!AF49=0,0,'P25'!AF49)</f>
        <v>0.17</v>
      </c>
      <c r="P49" s="201">
        <f>IF('P25'!AG49=0,0,'P25'!AG49)</f>
        <v>4</v>
      </c>
      <c r="Q49" s="201">
        <f>IF('P25'!AH49=0,0,'P25'!AH49)</f>
        <v>0.7</v>
      </c>
      <c r="R49" s="201">
        <f>IF('P25'!AI49=0,0,'P25'!AI49)</f>
        <v>4.0999999999999996</v>
      </c>
      <c r="S49" s="141"/>
      <c r="T49" s="139">
        <f t="shared" si="5"/>
        <v>0</v>
      </c>
      <c r="U49" s="140">
        <f t="shared" si="5"/>
        <v>0</v>
      </c>
      <c r="V49" s="141"/>
      <c r="W49" s="141"/>
      <c r="X49" s="141"/>
    </row>
    <row r="50" spans="2:24" s="5" customFormat="1" ht="14.25" customHeight="1" x14ac:dyDescent="0.25">
      <c r="B50" s="158" t="s">
        <v>158</v>
      </c>
      <c r="C50" s="35" t="s">
        <v>205</v>
      </c>
      <c r="D50" s="205">
        <f>'P26'!D50</f>
        <v>0</v>
      </c>
      <c r="E50" s="675"/>
      <c r="F50" s="675"/>
      <c r="G50" s="675"/>
      <c r="H50" s="206">
        <f t="shared" si="2"/>
        <v>0</v>
      </c>
      <c r="I50" s="207">
        <f t="shared" si="3"/>
        <v>0</v>
      </c>
      <c r="J50" s="138" t="str">
        <f t="shared" si="4"/>
        <v/>
      </c>
      <c r="K50" s="138" t="str">
        <f t="shared" si="4"/>
        <v/>
      </c>
      <c r="N50" s="51" t="str">
        <f>IF('P25'!AE50=0,"",'P25'!AE50)</f>
        <v>zelená hmota</v>
      </c>
      <c r="O50" s="32">
        <f>IF('P25'!AF50=0,0,'P25'!AF50)</f>
        <v>0.17</v>
      </c>
      <c r="P50" s="201">
        <f>IF('P25'!AG50=0,0,'P25'!AG50)</f>
        <v>4.8</v>
      </c>
      <c r="Q50" s="201">
        <f>IF('P25'!AH50=0,0,'P25'!AH50)</f>
        <v>0.6</v>
      </c>
      <c r="R50" s="201">
        <f>IF('P25'!AI50=0,0,'P25'!AI50)</f>
        <v>5.7</v>
      </c>
      <c r="S50" s="141"/>
      <c r="T50" s="139">
        <f t="shared" si="5"/>
        <v>0</v>
      </c>
      <c r="U50" s="140">
        <f t="shared" si="5"/>
        <v>0</v>
      </c>
      <c r="V50" s="141"/>
      <c r="W50" s="141"/>
      <c r="X50" s="141"/>
    </row>
    <row r="51" spans="2:24" s="5" customFormat="1" ht="14.25" customHeight="1" x14ac:dyDescent="0.25">
      <c r="B51" s="158" t="s">
        <v>159</v>
      </c>
      <c r="C51" s="35" t="s">
        <v>205</v>
      </c>
      <c r="D51" s="205">
        <f>'P26'!D51</f>
        <v>0</v>
      </c>
      <c r="E51" s="675"/>
      <c r="F51" s="675"/>
      <c r="G51" s="675"/>
      <c r="H51" s="206">
        <f t="shared" si="2"/>
        <v>0</v>
      </c>
      <c r="I51" s="207">
        <f t="shared" si="3"/>
        <v>0</v>
      </c>
      <c r="J51" s="138" t="str">
        <f t="shared" si="4"/>
        <v/>
      </c>
      <c r="K51" s="138" t="str">
        <f t="shared" si="4"/>
        <v/>
      </c>
      <c r="N51" s="51" t="str">
        <f>IF('P25'!AE51=0,"",'P25'!AE51)</f>
        <v>zelená hmota</v>
      </c>
      <c r="O51" s="32">
        <f>IF('P25'!AF51=0,0,'P25'!AF51)</f>
        <v>0.17</v>
      </c>
      <c r="P51" s="201">
        <f>IF('P25'!AG51=0,0,'P25'!AG51)</f>
        <v>5.0999999999999996</v>
      </c>
      <c r="Q51" s="201">
        <f>IF('P25'!AH51=0,0,'P25'!AH51)</f>
        <v>0.7</v>
      </c>
      <c r="R51" s="201">
        <f>IF('P25'!AI51=0,0,'P25'!AI51)</f>
        <v>5.4</v>
      </c>
      <c r="S51" s="141"/>
      <c r="T51" s="139">
        <f t="shared" si="5"/>
        <v>0</v>
      </c>
      <c r="U51" s="140">
        <f t="shared" si="5"/>
        <v>0</v>
      </c>
      <c r="V51" s="141"/>
      <c r="W51" s="141"/>
      <c r="X51" s="141"/>
    </row>
    <row r="52" spans="2:24" s="5" customFormat="1" ht="14.25" customHeight="1" x14ac:dyDescent="0.25">
      <c r="B52" s="158" t="s">
        <v>160</v>
      </c>
      <c r="C52" s="35" t="s">
        <v>205</v>
      </c>
      <c r="D52" s="205">
        <f>'P26'!D52</f>
        <v>0</v>
      </c>
      <c r="E52" s="675"/>
      <c r="F52" s="675"/>
      <c r="G52" s="675"/>
      <c r="H52" s="206">
        <f t="shared" si="2"/>
        <v>0</v>
      </c>
      <c r="I52" s="207">
        <f t="shared" si="3"/>
        <v>0</v>
      </c>
      <c r="J52" s="138" t="str">
        <f t="shared" si="4"/>
        <v/>
      </c>
      <c r="K52" s="138" t="str">
        <f t="shared" si="4"/>
        <v/>
      </c>
      <c r="N52" s="51" t="str">
        <f>IF('P25'!AE52=0,"",'P25'!AE52)</f>
        <v>zelená hmota</v>
      </c>
      <c r="O52" s="32">
        <f>IF('P25'!AF52=0,0,'P25'!AF52)</f>
        <v>0.17</v>
      </c>
      <c r="P52" s="201">
        <f>IF('P25'!AG52=0,0,'P25'!AG52)</f>
        <v>5.7</v>
      </c>
      <c r="Q52" s="201">
        <f>IF('P25'!AH52=0,0,'P25'!AH52)</f>
        <v>0.4</v>
      </c>
      <c r="R52" s="201">
        <f>IF('P25'!AI52=0,0,'P25'!AI52)</f>
        <v>4</v>
      </c>
      <c r="S52" s="141"/>
      <c r="T52" s="139">
        <f t="shared" si="5"/>
        <v>0</v>
      </c>
      <c r="U52" s="140">
        <f t="shared" si="5"/>
        <v>0</v>
      </c>
      <c r="V52" s="141"/>
      <c r="W52" s="141"/>
      <c r="X52" s="141"/>
    </row>
    <row r="53" spans="2:24" s="5" customFormat="1" ht="14.25" customHeight="1" x14ac:dyDescent="0.25">
      <c r="B53" s="158" t="s">
        <v>144</v>
      </c>
      <c r="C53" s="35" t="s">
        <v>205</v>
      </c>
      <c r="D53" s="205">
        <f>'P26'!D53</f>
        <v>0</v>
      </c>
      <c r="E53" s="675"/>
      <c r="F53" s="675"/>
      <c r="G53" s="675"/>
      <c r="H53" s="206">
        <f t="shared" si="2"/>
        <v>0</v>
      </c>
      <c r="I53" s="207">
        <f t="shared" si="3"/>
        <v>0</v>
      </c>
      <c r="J53" s="138" t="str">
        <f t="shared" si="4"/>
        <v/>
      </c>
      <c r="K53" s="138" t="str">
        <f t="shared" si="4"/>
        <v/>
      </c>
      <c r="N53" s="51" t="str">
        <f>IF('P25'!AE53=0,"",'P25'!AE53)</f>
        <v>zelená hmota</v>
      </c>
      <c r="O53" s="32">
        <f>IF('P25'!AF53=0,0,'P25'!AF53)</f>
        <v>0.17</v>
      </c>
      <c r="P53" s="201">
        <f>IF('P25'!AG53=0,0,'P25'!AG53)</f>
        <v>4</v>
      </c>
      <c r="Q53" s="201">
        <f>IF('P25'!AH53=0,0,'P25'!AH53)</f>
        <v>0.6</v>
      </c>
      <c r="R53" s="201">
        <f>IF('P25'!AI53=0,0,'P25'!AI53)</f>
        <v>4.5</v>
      </c>
      <c r="S53" s="141"/>
      <c r="T53" s="139">
        <f t="shared" si="5"/>
        <v>0</v>
      </c>
      <c r="U53" s="140">
        <f t="shared" si="5"/>
        <v>0</v>
      </c>
      <c r="V53" s="141"/>
      <c r="W53" s="141"/>
      <c r="X53" s="141"/>
    </row>
    <row r="54" spans="2:24" s="5" customFormat="1" ht="14.25" customHeight="1" x14ac:dyDescent="0.25">
      <c r="B54" s="158" t="s">
        <v>173</v>
      </c>
      <c r="C54" s="35" t="s">
        <v>234</v>
      </c>
      <c r="D54" s="205">
        <f>'P26'!D54</f>
        <v>0</v>
      </c>
      <c r="E54" s="675"/>
      <c r="F54" s="675"/>
      <c r="G54" s="675"/>
      <c r="H54" s="206">
        <f t="shared" si="2"/>
        <v>0</v>
      </c>
      <c r="I54" s="207">
        <f t="shared" si="3"/>
        <v>0</v>
      </c>
      <c r="J54" s="138" t="str">
        <f t="shared" si="4"/>
        <v/>
      </c>
      <c r="K54" s="138" t="str">
        <f t="shared" si="4"/>
        <v/>
      </c>
      <c r="N54" s="51" t="str">
        <f>IF('P25'!AE54=0,"",'P25'!AE54)</f>
        <v>seno</v>
      </c>
      <c r="O54" s="32">
        <f>IF('P25'!AF54=0,0,'P25'!AF54)</f>
        <v>0.85</v>
      </c>
      <c r="P54" s="201">
        <f>IF('P25'!AG54=0,0,'P25'!AG54)</f>
        <v>24.1</v>
      </c>
      <c r="Q54" s="201">
        <f>IF('P25'!AH54=0,0,'P25'!AH54)</f>
        <v>2</v>
      </c>
      <c r="R54" s="201">
        <f>IF('P25'!AI54=0,0,'P25'!AI54)</f>
        <v>17.899999999999999</v>
      </c>
      <c r="S54" s="141"/>
      <c r="T54" s="139">
        <f t="shared" si="5"/>
        <v>0</v>
      </c>
      <c r="U54" s="140">
        <f t="shared" si="5"/>
        <v>0</v>
      </c>
      <c r="V54" s="141"/>
      <c r="W54" s="141"/>
      <c r="X54" s="141"/>
    </row>
    <row r="55" spans="2:24" s="5" customFormat="1" ht="14.25" customHeight="1" x14ac:dyDescent="0.25">
      <c r="B55" s="158" t="s">
        <v>174</v>
      </c>
      <c r="C55" s="35" t="s">
        <v>234</v>
      </c>
      <c r="D55" s="205">
        <f>'P26'!D55</f>
        <v>0</v>
      </c>
      <c r="E55" s="675"/>
      <c r="F55" s="675"/>
      <c r="G55" s="675"/>
      <c r="H55" s="206">
        <f t="shared" si="2"/>
        <v>0</v>
      </c>
      <c r="I55" s="207">
        <f t="shared" si="3"/>
        <v>0</v>
      </c>
      <c r="J55" s="138" t="str">
        <f t="shared" si="4"/>
        <v/>
      </c>
      <c r="K55" s="138" t="str">
        <f t="shared" si="4"/>
        <v/>
      </c>
      <c r="N55" s="51" t="str">
        <f>IF('P25'!AE55=0,"",'P25'!AE55)</f>
        <v>seno</v>
      </c>
      <c r="O55" s="32">
        <f>IF('P25'!AF55=0,0,'P25'!AF55)</f>
        <v>0.85</v>
      </c>
      <c r="P55" s="201">
        <f>IF('P25'!AG55=0,0,'P25'!AG55)</f>
        <v>28.3</v>
      </c>
      <c r="Q55" s="201">
        <f>IF('P25'!AH55=0,0,'P25'!AH55)</f>
        <v>2.2999999999999998</v>
      </c>
      <c r="R55" s="201">
        <f>IF('P25'!AI55=0,0,'P25'!AI55)</f>
        <v>18.2</v>
      </c>
      <c r="S55" s="141"/>
      <c r="T55" s="139">
        <f t="shared" si="5"/>
        <v>0</v>
      </c>
      <c r="U55" s="140">
        <f t="shared" si="5"/>
        <v>0</v>
      </c>
      <c r="V55" s="141"/>
      <c r="W55" s="141"/>
      <c r="X55" s="141"/>
    </row>
    <row r="56" spans="2:24" s="5" customFormat="1" ht="14.25" customHeight="1" x14ac:dyDescent="0.25">
      <c r="B56" s="158" t="s">
        <v>187</v>
      </c>
      <c r="C56" s="35" t="s">
        <v>234</v>
      </c>
      <c r="D56" s="205">
        <f>'P26'!D56</f>
        <v>0</v>
      </c>
      <c r="E56" s="675"/>
      <c r="F56" s="675"/>
      <c r="G56" s="675"/>
      <c r="H56" s="206">
        <f t="shared" si="2"/>
        <v>0</v>
      </c>
      <c r="I56" s="207">
        <f t="shared" si="3"/>
        <v>0</v>
      </c>
      <c r="J56" s="138" t="str">
        <f t="shared" si="4"/>
        <v/>
      </c>
      <c r="K56" s="138" t="str">
        <f t="shared" si="4"/>
        <v/>
      </c>
      <c r="N56" s="51" t="str">
        <f>IF('P25'!AE56=0,"",'P25'!AE56)</f>
        <v>seno</v>
      </c>
      <c r="O56" s="32">
        <f>IF('P25'!AF56=0,0,'P25'!AF56)</f>
        <v>0.85</v>
      </c>
      <c r="P56" s="201">
        <f>IF('P25'!AG56=0,0,'P25'!AG56)</f>
        <v>28.3</v>
      </c>
      <c r="Q56" s="201">
        <f>IF('P25'!AH56=0,0,'P25'!AH56)</f>
        <v>2.2999999999999998</v>
      </c>
      <c r="R56" s="201">
        <f>IF('P25'!AI56=0,0,'P25'!AI56)</f>
        <v>18.2</v>
      </c>
      <c r="S56" s="141"/>
      <c r="T56" s="139">
        <f t="shared" si="5"/>
        <v>0</v>
      </c>
      <c r="U56" s="140">
        <f t="shared" si="5"/>
        <v>0</v>
      </c>
      <c r="V56" s="141"/>
      <c r="W56" s="141"/>
      <c r="X56" s="141"/>
    </row>
    <row r="57" spans="2:24" s="101" customFormat="1" ht="14.25" customHeight="1" x14ac:dyDescent="0.25">
      <c r="B57" s="159" t="s">
        <v>146</v>
      </c>
      <c r="C57" s="36"/>
      <c r="D57" s="205">
        <f>'P26'!D57</f>
        <v>0</v>
      </c>
      <c r="E57" s="675"/>
      <c r="F57" s="676"/>
      <c r="G57" s="676"/>
      <c r="H57" s="206">
        <f t="shared" si="2"/>
        <v>0</v>
      </c>
      <c r="I57" s="207">
        <f t="shared" si="3"/>
        <v>0</v>
      </c>
      <c r="J57" s="138" t="str">
        <f t="shared" si="4"/>
        <v/>
      </c>
      <c r="K57" s="138" t="str">
        <f t="shared" si="4"/>
        <v/>
      </c>
      <c r="L57" s="5"/>
      <c r="M57" s="5"/>
      <c r="N57" s="51" t="str">
        <f>IF('P25'!AE57=0,"",'P25'!AE57)</f>
        <v>semeno</v>
      </c>
      <c r="O57" s="32">
        <f>IF('P25'!AF57=0,0,'P25'!AF57)</f>
        <v>0.91</v>
      </c>
      <c r="P57" s="201">
        <f>IF('P25'!AG57=0,0,'P25'!AG57)</f>
        <v>55</v>
      </c>
      <c r="Q57" s="201">
        <f>IF('P25'!AH57=0,0,'P25'!AH57)</f>
        <v>6.4</v>
      </c>
      <c r="R57" s="201">
        <f>IF('P25'!AI57=0,0,'P25'!AI57)</f>
        <v>5.8</v>
      </c>
      <c r="S57" s="142"/>
      <c r="T57" s="139">
        <f t="shared" si="5"/>
        <v>0</v>
      </c>
      <c r="U57" s="140">
        <f t="shared" si="5"/>
        <v>0</v>
      </c>
      <c r="V57" s="142"/>
      <c r="W57" s="142"/>
      <c r="X57" s="142"/>
    </row>
    <row r="58" spans="2:24" s="5" customFormat="1" ht="14.25" customHeight="1" x14ac:dyDescent="0.25">
      <c r="B58" s="158" t="s">
        <v>77</v>
      </c>
      <c r="C58" s="35" t="s">
        <v>234</v>
      </c>
      <c r="D58" s="205">
        <f>'P26'!D58</f>
        <v>0</v>
      </c>
      <c r="E58" s="675"/>
      <c r="F58" s="675"/>
      <c r="G58" s="675"/>
      <c r="H58" s="206">
        <f t="shared" si="2"/>
        <v>0</v>
      </c>
      <c r="I58" s="207">
        <f t="shared" si="3"/>
        <v>0</v>
      </c>
      <c r="J58" s="138" t="str">
        <f t="shared" si="4"/>
        <v/>
      </c>
      <c r="K58" s="138" t="str">
        <f t="shared" si="4"/>
        <v/>
      </c>
      <c r="N58" s="51" t="str">
        <f>IF('P25'!AE58=0,"",'P25'!AE58)</f>
        <v>seno</v>
      </c>
      <c r="O58" s="32">
        <f>IF('P25'!AF58=0,0,'P25'!AF58)</f>
        <v>0.85</v>
      </c>
      <c r="P58" s="201">
        <f>IF('P25'!AG58=0,0,'P25'!AG58)</f>
        <v>21.8</v>
      </c>
      <c r="Q58" s="201">
        <f>IF('P25'!AH58=0,0,'P25'!AH58)</f>
        <v>2</v>
      </c>
      <c r="R58" s="201">
        <f>IF('P25'!AI58=0,0,'P25'!AI58)</f>
        <v>19</v>
      </c>
      <c r="S58" s="141"/>
      <c r="T58" s="139">
        <f t="shared" si="5"/>
        <v>0</v>
      </c>
      <c r="U58" s="140">
        <f t="shared" si="5"/>
        <v>0</v>
      </c>
      <c r="V58" s="141"/>
      <c r="W58" s="141"/>
      <c r="X58" s="141"/>
    </row>
    <row r="59" spans="2:24" s="5" customFormat="1" ht="14.25" customHeight="1" x14ac:dyDescent="0.25">
      <c r="B59" s="158" t="s">
        <v>78</v>
      </c>
      <c r="C59" s="35" t="s">
        <v>234</v>
      </c>
      <c r="D59" s="205">
        <f>'P26'!D59</f>
        <v>0</v>
      </c>
      <c r="E59" s="675"/>
      <c r="F59" s="675"/>
      <c r="G59" s="675"/>
      <c r="H59" s="206">
        <f t="shared" si="2"/>
        <v>0</v>
      </c>
      <c r="I59" s="207">
        <f t="shared" si="3"/>
        <v>0</v>
      </c>
      <c r="J59" s="138" t="str">
        <f t="shared" si="4"/>
        <v/>
      </c>
      <c r="K59" s="138" t="str">
        <f t="shared" si="4"/>
        <v/>
      </c>
      <c r="N59" s="51" t="str">
        <f>IF('P25'!AE59=0,"",'P25'!AE59)</f>
        <v>seno</v>
      </c>
      <c r="O59" s="32">
        <f>IF('P25'!AF59=0,0,'P25'!AF59)</f>
        <v>0.85</v>
      </c>
      <c r="P59" s="201">
        <f>IF('P25'!AG59=0,0,'P25'!AG59)</f>
        <v>21.1</v>
      </c>
      <c r="Q59" s="201">
        <f>IF('P25'!AH59=0,0,'P25'!AH59)</f>
        <v>2.8</v>
      </c>
      <c r="R59" s="201">
        <f>IF('P25'!AI59=0,0,'P25'!AI59)</f>
        <v>19.8</v>
      </c>
      <c r="S59" s="141"/>
      <c r="T59" s="139">
        <f t="shared" si="5"/>
        <v>0</v>
      </c>
      <c r="U59" s="140">
        <f t="shared" si="5"/>
        <v>0</v>
      </c>
      <c r="V59" s="141"/>
      <c r="W59" s="141"/>
      <c r="X59" s="141"/>
    </row>
    <row r="60" spans="2:24" s="5" customFormat="1" ht="14.25" customHeight="1" x14ac:dyDescent="0.25">
      <c r="B60" s="158" t="s">
        <v>79</v>
      </c>
      <c r="C60" s="35" t="s">
        <v>234</v>
      </c>
      <c r="D60" s="205">
        <f>'P26'!D60</f>
        <v>0</v>
      </c>
      <c r="E60" s="675"/>
      <c r="F60" s="675"/>
      <c r="G60" s="675"/>
      <c r="H60" s="206">
        <f t="shared" si="2"/>
        <v>0</v>
      </c>
      <c r="I60" s="207">
        <f t="shared" si="3"/>
        <v>0</v>
      </c>
      <c r="J60" s="138" t="str">
        <f t="shared" si="4"/>
        <v/>
      </c>
      <c r="K60" s="138" t="str">
        <f t="shared" si="4"/>
        <v/>
      </c>
      <c r="N60" s="51" t="str">
        <f>IF('P25'!AE60=0,"",'P25'!AE60)</f>
        <v>seno</v>
      </c>
      <c r="O60" s="32">
        <f>IF('P25'!AF60=0,0,'P25'!AF60)</f>
        <v>0.85</v>
      </c>
      <c r="P60" s="201">
        <f>IF('P25'!AG60=0,0,'P25'!AG60)</f>
        <v>20.399999999999999</v>
      </c>
      <c r="Q60" s="201">
        <f>IF('P25'!AH60=0,0,'P25'!AH60)</f>
        <v>3</v>
      </c>
      <c r="R60" s="201">
        <f>IF('P25'!AI60=0,0,'P25'!AI60)</f>
        <v>23</v>
      </c>
      <c r="S60" s="141"/>
      <c r="T60" s="139">
        <f t="shared" si="5"/>
        <v>0</v>
      </c>
      <c r="U60" s="140">
        <f t="shared" si="5"/>
        <v>0</v>
      </c>
      <c r="V60" s="141"/>
      <c r="W60" s="141"/>
      <c r="X60" s="141"/>
    </row>
    <row r="61" spans="2:24" s="5" customFormat="1" ht="14.25" customHeight="1" x14ac:dyDescent="0.25">
      <c r="B61" s="158" t="s">
        <v>186</v>
      </c>
      <c r="C61" s="35" t="s">
        <v>234</v>
      </c>
      <c r="D61" s="205">
        <f>'P26'!D61</f>
        <v>0</v>
      </c>
      <c r="E61" s="675"/>
      <c r="F61" s="675"/>
      <c r="G61" s="675"/>
      <c r="H61" s="206">
        <f t="shared" si="2"/>
        <v>0</v>
      </c>
      <c r="I61" s="207">
        <f t="shared" si="3"/>
        <v>0</v>
      </c>
      <c r="J61" s="138" t="str">
        <f t="shared" si="4"/>
        <v/>
      </c>
      <c r="K61" s="138" t="str">
        <f t="shared" si="4"/>
        <v/>
      </c>
      <c r="N61" s="51" t="str">
        <f>IF('P25'!AE61=0,"",'P25'!AE61)</f>
        <v>seno</v>
      </c>
      <c r="O61" s="32">
        <f>IF('P25'!AF61=0,0,'P25'!AF61)</f>
        <v>0.85</v>
      </c>
      <c r="P61" s="201">
        <f>IF('P25'!AG61=0,0,'P25'!AG61)</f>
        <v>21.7</v>
      </c>
      <c r="Q61" s="201">
        <f>IF('P25'!AH61=0,0,'P25'!AH61)</f>
        <v>2.6</v>
      </c>
      <c r="R61" s="201">
        <f>IF('P25'!AI61=0,0,'P25'!AI61)</f>
        <v>20.8</v>
      </c>
      <c r="S61" s="141"/>
      <c r="T61" s="139">
        <f t="shared" si="5"/>
        <v>0</v>
      </c>
      <c r="U61" s="140">
        <f t="shared" si="5"/>
        <v>0</v>
      </c>
      <c r="V61" s="141"/>
      <c r="W61" s="141"/>
      <c r="X61" s="141"/>
    </row>
    <row r="62" spans="2:24" s="101" customFormat="1" ht="14.25" customHeight="1" x14ac:dyDescent="0.25">
      <c r="B62" s="159" t="s">
        <v>147</v>
      </c>
      <c r="C62" s="36"/>
      <c r="D62" s="205">
        <f>'P26'!D62</f>
        <v>0</v>
      </c>
      <c r="E62" s="675"/>
      <c r="F62" s="676"/>
      <c r="G62" s="676"/>
      <c r="H62" s="206">
        <f t="shared" si="2"/>
        <v>0</v>
      </c>
      <c r="I62" s="207">
        <f t="shared" si="3"/>
        <v>0</v>
      </c>
      <c r="J62" s="138" t="str">
        <f t="shared" si="4"/>
        <v/>
      </c>
      <c r="K62" s="138" t="str">
        <f t="shared" si="4"/>
        <v/>
      </c>
      <c r="L62" s="5"/>
      <c r="M62" s="5"/>
      <c r="N62" s="51" t="str">
        <f>IF('P25'!AE62=0,"",'P25'!AE62)</f>
        <v>semeno</v>
      </c>
      <c r="O62" s="32">
        <f>IF('P25'!AF62=0,0,'P25'!AF62)</f>
        <v>0.91</v>
      </c>
      <c r="P62" s="201">
        <f>IF('P25'!AG62=0,0,'P25'!AG62)</f>
        <v>23.4</v>
      </c>
      <c r="Q62" s="201">
        <f>IF('P25'!AH62=0,0,'P25'!AH62)</f>
        <v>3.6</v>
      </c>
      <c r="R62" s="201">
        <f>IF('P25'!AI62=0,0,'P25'!AI62)</f>
        <v>5.8</v>
      </c>
      <c r="S62" s="142"/>
      <c r="T62" s="139">
        <f t="shared" si="5"/>
        <v>0</v>
      </c>
      <c r="U62" s="140">
        <f t="shared" si="5"/>
        <v>0</v>
      </c>
      <c r="V62" s="142"/>
      <c r="W62" s="142"/>
      <c r="X62" s="142"/>
    </row>
    <row r="63" spans="2:24" s="5" customFormat="1" ht="14.25" customHeight="1" x14ac:dyDescent="0.25">
      <c r="B63" s="158" t="s">
        <v>63</v>
      </c>
      <c r="C63" s="36"/>
      <c r="D63" s="210">
        <f>'P26'!D63</f>
        <v>0</v>
      </c>
      <c r="E63" s="675"/>
      <c r="F63" s="676"/>
      <c r="G63" s="676"/>
      <c r="H63" s="206">
        <f t="shared" si="2"/>
        <v>0</v>
      </c>
      <c r="I63" s="207">
        <f t="shared" si="3"/>
        <v>0</v>
      </c>
      <c r="J63" s="138" t="str">
        <f t="shared" si="4"/>
        <v/>
      </c>
      <c r="K63" s="138" t="str">
        <f t="shared" si="4"/>
        <v/>
      </c>
      <c r="N63" s="51" t="str">
        <f>IF('P25'!AE63=0,"",'P25'!AE63)</f>
        <v/>
      </c>
      <c r="O63" s="32">
        <f>IF('P25'!AF63=0,0,'P25'!AF63)</f>
        <v>0</v>
      </c>
      <c r="P63" s="201">
        <f>IF('P25'!AG63=0,0,'P25'!AG63)</f>
        <v>3</v>
      </c>
      <c r="Q63" s="201">
        <f>IF('P25'!AH63=0,0,'P25'!AH63)</f>
        <v>0.9</v>
      </c>
      <c r="R63" s="201">
        <f>IF('P25'!AI63=0,0,'P25'!AI63)</f>
        <v>5</v>
      </c>
      <c r="S63" s="141"/>
      <c r="T63" s="139">
        <f t="shared" si="5"/>
        <v>0</v>
      </c>
      <c r="U63" s="140">
        <f t="shared" si="5"/>
        <v>0</v>
      </c>
      <c r="V63" s="141"/>
      <c r="W63" s="141"/>
      <c r="X63" s="141"/>
    </row>
    <row r="64" spans="2:24" s="5" customFormat="1" ht="14.25" customHeight="1" x14ac:dyDescent="0.25">
      <c r="B64" s="158" t="s">
        <v>67</v>
      </c>
      <c r="C64" s="36"/>
      <c r="D64" s="210">
        <f>'P26'!D64</f>
        <v>0</v>
      </c>
      <c r="E64" s="675"/>
      <c r="F64" s="676"/>
      <c r="G64" s="676"/>
      <c r="H64" s="206">
        <f t="shared" si="2"/>
        <v>0</v>
      </c>
      <c r="I64" s="207">
        <f t="shared" si="3"/>
        <v>0</v>
      </c>
      <c r="J64" s="138" t="str">
        <f t="shared" si="4"/>
        <v/>
      </c>
      <c r="K64" s="138" t="str">
        <f t="shared" si="4"/>
        <v/>
      </c>
      <c r="N64" s="51" t="str">
        <f>IF('P25'!AE64=0,"",'P25'!AE64)</f>
        <v/>
      </c>
      <c r="O64" s="32">
        <f>IF('P25'!AF64=0,0,'P25'!AF64)</f>
        <v>0</v>
      </c>
      <c r="P64" s="201">
        <f>IF('P25'!AG64=0,0,'P25'!AG64)</f>
        <v>2</v>
      </c>
      <c r="Q64" s="201">
        <f>IF('P25'!AH64=0,0,'P25'!AH64)</f>
        <v>0.4</v>
      </c>
      <c r="R64" s="201">
        <f>IF('P25'!AI64=0,0,'P25'!AI64)</f>
        <v>3.7</v>
      </c>
      <c r="S64" s="141"/>
      <c r="T64" s="139">
        <f t="shared" si="5"/>
        <v>0</v>
      </c>
      <c r="U64" s="140">
        <f t="shared" si="5"/>
        <v>0</v>
      </c>
      <c r="V64" s="141"/>
      <c r="W64" s="141"/>
      <c r="X64" s="141"/>
    </row>
    <row r="65" spans="2:24" s="5" customFormat="1" ht="14.25" customHeight="1" x14ac:dyDescent="0.25">
      <c r="B65" s="158" t="s">
        <v>70</v>
      </c>
      <c r="C65" s="36"/>
      <c r="D65" s="210">
        <f>'P26'!D65</f>
        <v>0</v>
      </c>
      <c r="E65" s="675"/>
      <c r="F65" s="676"/>
      <c r="G65" s="676"/>
      <c r="H65" s="206">
        <f t="shared" si="2"/>
        <v>0</v>
      </c>
      <c r="I65" s="207">
        <f t="shared" si="3"/>
        <v>0</v>
      </c>
      <c r="J65" s="138" t="str">
        <f t="shared" si="4"/>
        <v/>
      </c>
      <c r="K65" s="138" t="str">
        <f t="shared" si="4"/>
        <v/>
      </c>
      <c r="N65" s="51" t="str">
        <f>IF('P25'!AE65=0,"",'P25'!AE65)</f>
        <v/>
      </c>
      <c r="O65" s="32">
        <f>IF('P25'!AF65=0,0,'P25'!AF65)</f>
        <v>0</v>
      </c>
      <c r="P65" s="201">
        <f>IF('P25'!AG65=0,0,'P25'!AG65)</f>
        <v>3</v>
      </c>
      <c r="Q65" s="201">
        <f>IF('P25'!AH65=0,0,'P25'!AH65)</f>
        <v>0.7</v>
      </c>
      <c r="R65" s="201">
        <f>IF('P25'!AI65=0,0,'P25'!AI65)</f>
        <v>4.2</v>
      </c>
      <c r="S65" s="141"/>
      <c r="T65" s="139">
        <f t="shared" si="5"/>
        <v>0</v>
      </c>
      <c r="U65" s="140">
        <f t="shared" si="5"/>
        <v>0</v>
      </c>
      <c r="V65" s="141"/>
      <c r="W65" s="141"/>
      <c r="X65" s="141"/>
    </row>
    <row r="66" spans="2:24" s="5" customFormat="1" ht="14.25" customHeight="1" x14ac:dyDescent="0.25">
      <c r="B66" s="158" t="s">
        <v>62</v>
      </c>
      <c r="C66" s="36"/>
      <c r="D66" s="210">
        <f>'P26'!D66</f>
        <v>0</v>
      </c>
      <c r="E66" s="675"/>
      <c r="F66" s="676"/>
      <c r="G66" s="676"/>
      <c r="H66" s="206">
        <f t="shared" si="2"/>
        <v>0</v>
      </c>
      <c r="I66" s="207">
        <f t="shared" si="3"/>
        <v>0</v>
      </c>
      <c r="J66" s="138" t="str">
        <f t="shared" si="4"/>
        <v/>
      </c>
      <c r="K66" s="138" t="str">
        <f t="shared" si="4"/>
        <v/>
      </c>
      <c r="N66" s="51" t="str">
        <f>IF('P25'!AE66=0,"",'P25'!AE66)</f>
        <v/>
      </c>
      <c r="O66" s="32">
        <f>IF('P25'!AF66=0,0,'P25'!AF66)</f>
        <v>0</v>
      </c>
      <c r="P66" s="201">
        <f>IF('P25'!AG66=0,0,'P25'!AG66)</f>
        <v>2</v>
      </c>
      <c r="Q66" s="201">
        <f>IF('P25'!AH66=0,0,'P25'!AH66)</f>
        <v>0.4</v>
      </c>
      <c r="R66" s="201">
        <f>IF('P25'!AI66=0,0,'P25'!AI66)</f>
        <v>1.7</v>
      </c>
      <c r="S66" s="141"/>
      <c r="T66" s="139">
        <f t="shared" si="5"/>
        <v>0</v>
      </c>
      <c r="U66" s="140">
        <f t="shared" si="5"/>
        <v>0</v>
      </c>
      <c r="V66" s="141"/>
      <c r="W66" s="141"/>
      <c r="X66" s="141"/>
    </row>
    <row r="67" spans="2:24" s="5" customFormat="1" ht="14.25" customHeight="1" x14ac:dyDescent="0.25">
      <c r="B67" s="158" t="s">
        <v>65</v>
      </c>
      <c r="C67" s="36"/>
      <c r="D67" s="210">
        <f>'P26'!D67</f>
        <v>0</v>
      </c>
      <c r="E67" s="675"/>
      <c r="F67" s="676"/>
      <c r="G67" s="676"/>
      <c r="H67" s="206">
        <f t="shared" si="2"/>
        <v>0</v>
      </c>
      <c r="I67" s="207">
        <f t="shared" si="3"/>
        <v>0</v>
      </c>
      <c r="J67" s="138" t="str">
        <f t="shared" si="4"/>
        <v/>
      </c>
      <c r="K67" s="138" t="str">
        <f t="shared" si="4"/>
        <v/>
      </c>
      <c r="N67" s="51" t="str">
        <f>IF('P25'!AE67=0,"",'P25'!AE67)</f>
        <v/>
      </c>
      <c r="O67" s="32">
        <f>IF('P25'!AF67=0,0,'P25'!AF67)</f>
        <v>0</v>
      </c>
      <c r="P67" s="201">
        <f>IF('P25'!AG67=0,0,'P25'!AG67)</f>
        <v>3</v>
      </c>
      <c r="Q67" s="201">
        <f>IF('P25'!AH67=0,0,'P25'!AH67)</f>
        <v>0.4</v>
      </c>
      <c r="R67" s="201">
        <f>IF('P25'!AI67=0,0,'P25'!AI67)</f>
        <v>3.7</v>
      </c>
      <c r="S67" s="141"/>
      <c r="T67" s="139">
        <f t="shared" si="5"/>
        <v>0</v>
      </c>
      <c r="U67" s="140">
        <f t="shared" si="5"/>
        <v>0</v>
      </c>
      <c r="V67" s="141"/>
      <c r="W67" s="141"/>
      <c r="X67" s="141"/>
    </row>
    <row r="68" spans="2:24" s="5" customFormat="1" ht="14.25" customHeight="1" x14ac:dyDescent="0.25">
      <c r="B68" s="158" t="s">
        <v>64</v>
      </c>
      <c r="C68" s="36"/>
      <c r="D68" s="210">
        <f>'P26'!D68</f>
        <v>0</v>
      </c>
      <c r="E68" s="675"/>
      <c r="F68" s="676"/>
      <c r="G68" s="676"/>
      <c r="H68" s="206">
        <f t="shared" si="2"/>
        <v>0</v>
      </c>
      <c r="I68" s="207">
        <f t="shared" si="3"/>
        <v>0</v>
      </c>
      <c r="J68" s="138" t="str">
        <f t="shared" si="4"/>
        <v/>
      </c>
      <c r="K68" s="138" t="str">
        <f t="shared" si="4"/>
        <v/>
      </c>
      <c r="N68" s="51" t="str">
        <f>IF('P25'!AE68=0,"",'P25'!AE68)</f>
        <v/>
      </c>
      <c r="O68" s="32">
        <f>IF('P25'!AF68=0,0,'P25'!AF68)</f>
        <v>0</v>
      </c>
      <c r="P68" s="201">
        <f>IF('P25'!AG68=0,0,'P25'!AG68)</f>
        <v>3.5</v>
      </c>
      <c r="Q68" s="201">
        <f>IF('P25'!AH68=0,0,'P25'!AH68)</f>
        <v>0.5</v>
      </c>
      <c r="R68" s="201">
        <f>IF('P25'!AI68=0,0,'P25'!AI68)</f>
        <v>3.3</v>
      </c>
      <c r="S68" s="141"/>
      <c r="T68" s="139">
        <f t="shared" si="5"/>
        <v>0</v>
      </c>
      <c r="U68" s="140">
        <f t="shared" si="5"/>
        <v>0</v>
      </c>
      <c r="V68" s="141"/>
      <c r="W68" s="141"/>
      <c r="X68" s="141"/>
    </row>
    <row r="69" spans="2:24" s="5" customFormat="1" ht="14.25" customHeight="1" x14ac:dyDescent="0.25">
      <c r="B69" s="158" t="s">
        <v>66</v>
      </c>
      <c r="C69" s="36"/>
      <c r="D69" s="210">
        <f>'P26'!D69</f>
        <v>0</v>
      </c>
      <c r="E69" s="675"/>
      <c r="F69" s="676"/>
      <c r="G69" s="676"/>
      <c r="H69" s="206">
        <f t="shared" si="2"/>
        <v>0</v>
      </c>
      <c r="I69" s="207">
        <f t="shared" si="3"/>
        <v>0</v>
      </c>
      <c r="J69" s="138" t="str">
        <f t="shared" si="4"/>
        <v/>
      </c>
      <c r="K69" s="138" t="str">
        <f t="shared" si="4"/>
        <v/>
      </c>
      <c r="N69" s="51" t="str">
        <f>IF('P25'!AE69=0,"",'P25'!AE69)</f>
        <v/>
      </c>
      <c r="O69" s="32">
        <f>IF('P25'!AF69=0,0,'P25'!AF69)</f>
        <v>0</v>
      </c>
      <c r="P69" s="201">
        <f>IF('P25'!AG69=0,0,'P25'!AG69)</f>
        <v>3.5</v>
      </c>
      <c r="Q69" s="201">
        <f>IF('P25'!AH69=0,0,'P25'!AH69)</f>
        <v>0.5</v>
      </c>
      <c r="R69" s="201">
        <f>IF('P25'!AI69=0,0,'P25'!AI69)</f>
        <v>3.3</v>
      </c>
      <c r="S69" s="141"/>
      <c r="T69" s="139">
        <f t="shared" si="5"/>
        <v>0</v>
      </c>
      <c r="U69" s="140">
        <f t="shared" si="5"/>
        <v>0</v>
      </c>
      <c r="V69" s="141"/>
      <c r="W69" s="141"/>
      <c r="X69" s="141"/>
    </row>
    <row r="70" spans="2:24" s="5" customFormat="1" ht="14.25" customHeight="1" x14ac:dyDescent="0.25">
      <c r="B70" s="158" t="s">
        <v>72</v>
      </c>
      <c r="C70" s="36"/>
      <c r="D70" s="210">
        <f>'P26'!D70</f>
        <v>0</v>
      </c>
      <c r="E70" s="675"/>
      <c r="F70" s="676"/>
      <c r="G70" s="676"/>
      <c r="H70" s="206">
        <f t="shared" si="2"/>
        <v>0</v>
      </c>
      <c r="I70" s="207">
        <f t="shared" si="3"/>
        <v>0</v>
      </c>
      <c r="J70" s="138" t="str">
        <f t="shared" si="4"/>
        <v/>
      </c>
      <c r="K70" s="138" t="str">
        <f t="shared" si="4"/>
        <v/>
      </c>
      <c r="N70" s="51" t="str">
        <f>IF('P25'!AE70=0,"",'P25'!AE70)</f>
        <v/>
      </c>
      <c r="O70" s="32">
        <f>IF('P25'!AF70=0,0,'P25'!AF70)</f>
        <v>0</v>
      </c>
      <c r="P70" s="201">
        <f>IF('P25'!AG70=0,0,'P25'!AG70)</f>
        <v>3</v>
      </c>
      <c r="Q70" s="201">
        <f>IF('P25'!AH70=0,0,'P25'!AH70)</f>
        <v>0.4</v>
      </c>
      <c r="R70" s="201">
        <f>IF('P25'!AI70=0,0,'P25'!AI70)</f>
        <v>2.7</v>
      </c>
      <c r="S70" s="141"/>
      <c r="T70" s="139">
        <f t="shared" si="5"/>
        <v>0</v>
      </c>
      <c r="U70" s="140">
        <f t="shared" si="5"/>
        <v>0</v>
      </c>
      <c r="V70" s="141"/>
      <c r="W70" s="141"/>
      <c r="X70" s="141"/>
    </row>
    <row r="71" spans="2:24" s="5" customFormat="1" ht="14.25" customHeight="1" x14ac:dyDescent="0.25">
      <c r="B71" s="158" t="s">
        <v>68</v>
      </c>
      <c r="C71" s="36"/>
      <c r="D71" s="210">
        <f>'P26'!D71</f>
        <v>0</v>
      </c>
      <c r="E71" s="675"/>
      <c r="F71" s="676"/>
      <c r="G71" s="676"/>
      <c r="H71" s="206">
        <f t="shared" si="2"/>
        <v>0</v>
      </c>
      <c r="I71" s="207">
        <f t="shared" si="3"/>
        <v>0</v>
      </c>
      <c r="J71" s="138" t="str">
        <f t="shared" si="4"/>
        <v/>
      </c>
      <c r="K71" s="138" t="str">
        <f t="shared" si="4"/>
        <v/>
      </c>
      <c r="N71" s="51" t="str">
        <f>IF('P25'!AE71=0,"",'P25'!AE71)</f>
        <v/>
      </c>
      <c r="O71" s="32">
        <f>IF('P25'!AF71=0,0,'P25'!AF71)</f>
        <v>0</v>
      </c>
      <c r="P71" s="201">
        <f>IF('P25'!AG71=0,0,'P25'!AG71)</f>
        <v>2</v>
      </c>
      <c r="Q71" s="201">
        <f>IF('P25'!AH71=0,0,'P25'!AH71)</f>
        <v>0.4</v>
      </c>
      <c r="R71" s="201">
        <f>IF('P25'!AI71=0,0,'P25'!AI71)</f>
        <v>4.2</v>
      </c>
      <c r="S71" s="141"/>
      <c r="T71" s="139">
        <f t="shared" si="5"/>
        <v>0</v>
      </c>
      <c r="U71" s="140">
        <f t="shared" si="5"/>
        <v>0</v>
      </c>
      <c r="V71" s="141"/>
      <c r="W71" s="141"/>
      <c r="X71" s="141"/>
    </row>
    <row r="72" spans="2:24" s="5" customFormat="1" ht="14.25" customHeight="1" x14ac:dyDescent="0.25">
      <c r="B72" s="158" t="s">
        <v>69</v>
      </c>
      <c r="C72" s="36"/>
      <c r="D72" s="210">
        <f>'P26'!D72</f>
        <v>0</v>
      </c>
      <c r="E72" s="675"/>
      <c r="F72" s="676"/>
      <c r="G72" s="676"/>
      <c r="H72" s="206">
        <f t="shared" si="2"/>
        <v>0</v>
      </c>
      <c r="I72" s="207">
        <f t="shared" si="3"/>
        <v>0</v>
      </c>
      <c r="J72" s="138" t="str">
        <f t="shared" ref="J72:K78" si="6">IF(T72&lt;0,"!","")</f>
        <v/>
      </c>
      <c r="K72" s="138" t="str">
        <f t="shared" si="6"/>
        <v/>
      </c>
      <c r="N72" s="51" t="str">
        <f>IF('P25'!AE72=0,"",'P25'!AE72)</f>
        <v/>
      </c>
      <c r="O72" s="32">
        <f>IF('P25'!AF72=0,0,'P25'!AF72)</f>
        <v>0</v>
      </c>
      <c r="P72" s="201">
        <f>IF('P25'!AG72=0,0,'P25'!AG72)</f>
        <v>1.8</v>
      </c>
      <c r="Q72" s="201">
        <f>IF('P25'!AH72=0,0,'P25'!AH72)</f>
        <v>0.3</v>
      </c>
      <c r="R72" s="201">
        <f>IF('P25'!AI72=0,0,'P25'!AI72)</f>
        <v>2.9</v>
      </c>
      <c r="S72" s="141"/>
      <c r="T72" s="139">
        <f t="shared" ref="T72:U78" si="7">D72-F72</f>
        <v>0</v>
      </c>
      <c r="U72" s="140">
        <f t="shared" si="7"/>
        <v>0</v>
      </c>
      <c r="V72" s="141"/>
      <c r="W72" s="141"/>
      <c r="X72" s="141"/>
    </row>
    <row r="73" spans="2:24" s="5" customFormat="1" ht="14.25" customHeight="1" x14ac:dyDescent="0.25">
      <c r="B73" s="158" t="s">
        <v>71</v>
      </c>
      <c r="C73" s="36"/>
      <c r="D73" s="210">
        <f>'P26'!D73</f>
        <v>0</v>
      </c>
      <c r="E73" s="675"/>
      <c r="F73" s="676"/>
      <c r="G73" s="676"/>
      <c r="H73" s="206">
        <f t="shared" si="2"/>
        <v>0</v>
      </c>
      <c r="I73" s="207">
        <f t="shared" si="3"/>
        <v>0</v>
      </c>
      <c r="J73" s="138" t="str">
        <f t="shared" si="6"/>
        <v/>
      </c>
      <c r="K73" s="138" t="str">
        <f t="shared" si="6"/>
        <v/>
      </c>
      <c r="N73" s="51" t="str">
        <f>IF('P25'!AE73=0,"",'P25'!AE73)</f>
        <v/>
      </c>
      <c r="O73" s="32">
        <f>IF('P25'!AF73=0,0,'P25'!AF73)</f>
        <v>0</v>
      </c>
      <c r="P73" s="201">
        <f>IF('P25'!AG73=0,0,'P25'!AG73)</f>
        <v>4</v>
      </c>
      <c r="Q73" s="201">
        <f>IF('P25'!AH73=0,0,'P25'!AH73)</f>
        <v>0.6</v>
      </c>
      <c r="R73" s="201">
        <f>IF('P25'!AI73=0,0,'P25'!AI73)</f>
        <v>5.8</v>
      </c>
      <c r="S73" s="141"/>
      <c r="T73" s="139">
        <f t="shared" si="7"/>
        <v>0</v>
      </c>
      <c r="U73" s="140">
        <f t="shared" si="7"/>
        <v>0</v>
      </c>
      <c r="V73" s="141"/>
      <c r="W73" s="141"/>
      <c r="X73" s="141"/>
    </row>
    <row r="74" spans="2:24" s="5" customFormat="1" ht="14.25" customHeight="1" x14ac:dyDescent="0.25">
      <c r="B74" s="689" t="s">
        <v>162</v>
      </c>
      <c r="C74" s="35" t="s">
        <v>188</v>
      </c>
      <c r="D74" s="210">
        <f>'P26'!D74</f>
        <v>0</v>
      </c>
      <c r="E74" s="675"/>
      <c r="F74" s="676"/>
      <c r="G74" s="676"/>
      <c r="H74" s="206">
        <f t="shared" si="2"/>
        <v>0</v>
      </c>
      <c r="I74" s="207">
        <f t="shared" si="3"/>
        <v>0</v>
      </c>
      <c r="J74" s="138" t="str">
        <f t="shared" si="6"/>
        <v/>
      </c>
      <c r="K74" s="138" t="str">
        <f t="shared" si="6"/>
        <v/>
      </c>
      <c r="N74" s="51" t="str">
        <f>IF('P25'!AE74=0,"",'P25'!AE74)</f>
        <v>zelené zrno</v>
      </c>
      <c r="O74" s="32">
        <f>IF('P25'!AF74=0,0,'P25'!AF74)</f>
        <v>0.15</v>
      </c>
      <c r="P74" s="201">
        <f>IF('P25'!AG74=0,0,'P25'!AG74)</f>
        <v>11</v>
      </c>
      <c r="Q74" s="201">
        <f>IF('P25'!AH74=0,0,'P25'!AH74)</f>
        <v>1.1000000000000001</v>
      </c>
      <c r="R74" s="201">
        <f>IF('P25'!AI74=0,0,'P25'!AI74)</f>
        <v>3.3</v>
      </c>
      <c r="S74" s="141"/>
      <c r="T74" s="139">
        <f t="shared" si="7"/>
        <v>0</v>
      </c>
      <c r="U74" s="140">
        <f t="shared" si="7"/>
        <v>0</v>
      </c>
      <c r="V74" s="141"/>
      <c r="W74" s="141"/>
      <c r="X74" s="141"/>
    </row>
    <row r="75" spans="2:24" s="5" customFormat="1" ht="14.25" customHeight="1" x14ac:dyDescent="0.25">
      <c r="B75" s="690"/>
      <c r="C75" s="35" t="s">
        <v>189</v>
      </c>
      <c r="D75" s="210">
        <f>'P26'!D75</f>
        <v>0</v>
      </c>
      <c r="E75" s="675"/>
      <c r="F75" s="676"/>
      <c r="G75" s="676"/>
      <c r="H75" s="206">
        <f>IF(F75=0,0,IF(E75=0,0,IF((E75-G75)/E75&lt;0,0,(E75-G75)/E75)))</f>
        <v>0</v>
      </c>
      <c r="I75" s="207">
        <f t="shared" si="3"/>
        <v>0</v>
      </c>
      <c r="J75" s="138" t="str">
        <f t="shared" si="6"/>
        <v/>
      </c>
      <c r="K75" s="138" t="str">
        <f t="shared" si="6"/>
        <v/>
      </c>
      <c r="N75" s="51" t="str">
        <f>IF('P25'!AE75=0,"",'P25'!AE75)</f>
        <v>lusky</v>
      </c>
      <c r="O75" s="32">
        <f>IF('P25'!AF75=0,0,'P25'!AF75)</f>
        <v>0.15</v>
      </c>
      <c r="P75" s="201">
        <f>IF('P25'!AG75=0,0,'P25'!AG75)</f>
        <v>5</v>
      </c>
      <c r="Q75" s="201">
        <f>IF('P25'!AH75=0,0,'P25'!AH75)</f>
        <v>0.7</v>
      </c>
      <c r="R75" s="201">
        <f>IF('P25'!AI75=0,0,'P25'!AI75)</f>
        <v>3.3</v>
      </c>
      <c r="S75" s="141"/>
      <c r="T75" s="139">
        <f t="shared" si="7"/>
        <v>0</v>
      </c>
      <c r="U75" s="140">
        <f t="shared" si="7"/>
        <v>0</v>
      </c>
      <c r="V75" s="141"/>
      <c r="W75" s="141"/>
      <c r="X75" s="141"/>
    </row>
    <row r="76" spans="2:24" s="5" customFormat="1" ht="14.25" customHeight="1" x14ac:dyDescent="0.25">
      <c r="B76" s="158" t="s">
        <v>163</v>
      </c>
      <c r="C76" s="36"/>
      <c r="D76" s="210">
        <f>'P26'!D76</f>
        <v>0</v>
      </c>
      <c r="E76" s="675"/>
      <c r="F76" s="676"/>
      <c r="G76" s="676"/>
      <c r="H76" s="206">
        <f>IF(F76=0,0,IF(E76=0,0,IF((E76-G76)/E76&lt;0,0,(E76-G76)/E76)))</f>
        <v>0</v>
      </c>
      <c r="I76" s="207">
        <f t="shared" ref="I76:I78" si="8">IF(E76=0,0,IF((E76-G76)/E76&lt;0.3,0,(E76-G76)*F76*P76/1000))</f>
        <v>0</v>
      </c>
      <c r="J76" s="138" t="str">
        <f t="shared" si="6"/>
        <v/>
      </c>
      <c r="K76" s="138" t="str">
        <f t="shared" si="6"/>
        <v/>
      </c>
      <c r="N76" s="51" t="str">
        <f>IF('P25'!AE76=0,"",'P25'!AE76)</f>
        <v>lusky</v>
      </c>
      <c r="O76" s="32">
        <f>IF('P25'!AF76=0,0,'P25'!AF76)</f>
        <v>0.12</v>
      </c>
      <c r="P76" s="201">
        <f>IF('P25'!AG76=0,0,'P25'!AG76)</f>
        <v>4</v>
      </c>
      <c r="Q76" s="201">
        <f>IF('P25'!AH76=0,0,'P25'!AH76)</f>
        <v>0.7</v>
      </c>
      <c r="R76" s="201">
        <f>IF('P25'!AI76=0,0,'P25'!AI76)</f>
        <v>2.5</v>
      </c>
      <c r="S76" s="141"/>
      <c r="T76" s="139">
        <f t="shared" si="7"/>
        <v>0</v>
      </c>
      <c r="U76" s="140">
        <f t="shared" si="7"/>
        <v>0</v>
      </c>
      <c r="V76" s="141"/>
      <c r="W76" s="141"/>
      <c r="X76" s="141"/>
    </row>
    <row r="77" spans="2:24" s="5" customFormat="1" ht="14.25" customHeight="1" x14ac:dyDescent="0.25">
      <c r="B77" s="158" t="s">
        <v>93</v>
      </c>
      <c r="C77" s="36"/>
      <c r="D77" s="210">
        <f>'P26'!D77</f>
        <v>0</v>
      </c>
      <c r="E77" s="675"/>
      <c r="F77" s="676"/>
      <c r="G77" s="676"/>
      <c r="H77" s="206">
        <f>IF(F77=0,0,IF(E77=0,0,IF((E77-G77)/E77&lt;0,0,(E77-G77)/E77)))</f>
        <v>0</v>
      </c>
      <c r="I77" s="207">
        <f t="shared" si="8"/>
        <v>0</v>
      </c>
      <c r="J77" s="138" t="str">
        <f t="shared" si="6"/>
        <v/>
      </c>
      <c r="K77" s="138" t="str">
        <f t="shared" si="6"/>
        <v/>
      </c>
      <c r="N77" s="51" t="str">
        <f>IF('P25'!AE77=0,"",'P25'!AE77)</f>
        <v/>
      </c>
      <c r="O77" s="32">
        <f>IF('P25'!AF77=0,0,'P25'!AF77)</f>
        <v>0</v>
      </c>
      <c r="P77" s="201">
        <f>IF('P25'!AG77=0,0,'P25'!AG77)</f>
        <v>2.5</v>
      </c>
      <c r="Q77" s="201">
        <f>IF('P25'!AH77=0,0,'P25'!AH77)</f>
        <v>0.4</v>
      </c>
      <c r="R77" s="201">
        <f>IF('P25'!AI77=0,0,'P25'!AI77)</f>
        <v>4</v>
      </c>
      <c r="S77" s="141"/>
      <c r="T77" s="139">
        <f t="shared" si="7"/>
        <v>0</v>
      </c>
      <c r="U77" s="140">
        <f t="shared" si="7"/>
        <v>0</v>
      </c>
      <c r="V77" s="141"/>
      <c r="W77" s="141"/>
      <c r="X77" s="141"/>
    </row>
    <row r="78" spans="2:24" s="5" customFormat="1" ht="14.25" customHeight="1" x14ac:dyDescent="0.25">
      <c r="B78" s="158" t="s">
        <v>254</v>
      </c>
      <c r="C78" s="36"/>
      <c r="D78" s="205">
        <f>'P26'!D78</f>
        <v>0</v>
      </c>
      <c r="E78" s="675"/>
      <c r="F78" s="676"/>
      <c r="G78" s="676"/>
      <c r="H78" s="206">
        <f>IF(F78=0,0,IF(E78=0,0,IF((E78-G78)/E78&lt;0,0,(E78-G78)/E78)))</f>
        <v>0</v>
      </c>
      <c r="I78" s="207">
        <f t="shared" si="8"/>
        <v>0</v>
      </c>
      <c r="J78" s="138" t="str">
        <f t="shared" si="6"/>
        <v/>
      </c>
      <c r="K78" s="138" t="str">
        <f t="shared" si="6"/>
        <v/>
      </c>
      <c r="N78" s="51" t="str">
        <f>IF('P25'!AE78=0,"",'P25'!AE78)</f>
        <v/>
      </c>
      <c r="O78" s="32">
        <f>IF('P25'!AF78=0,0,'P25'!AF78)</f>
        <v>0.15</v>
      </c>
      <c r="P78" s="201">
        <f>IF('P25'!AG78=0,0,'P25'!AG78)</f>
        <v>1.7</v>
      </c>
      <c r="Q78" s="201">
        <f>IF('P25'!AH78=0,0,'P25'!AH78)</f>
        <v>0.2</v>
      </c>
      <c r="R78" s="201">
        <f>IF('P25'!AI78=0,0,'P25'!AI78)</f>
        <v>2.2999999999999998</v>
      </c>
      <c r="S78" s="141"/>
      <c r="T78" s="139">
        <f t="shared" si="7"/>
        <v>0</v>
      </c>
      <c r="U78" s="140">
        <f t="shared" si="7"/>
        <v>0</v>
      </c>
      <c r="V78" s="141"/>
      <c r="W78" s="141"/>
      <c r="X78" s="141"/>
    </row>
    <row r="79" spans="2:24" s="5" customFormat="1" ht="14.25" customHeight="1" x14ac:dyDescent="0.25">
      <c r="B79" s="691" t="s">
        <v>233</v>
      </c>
      <c r="C79" s="692"/>
      <c r="D79" s="205">
        <f>'P26'!D79</f>
        <v>0</v>
      </c>
      <c r="E79" s="211"/>
      <c r="F79" s="212"/>
      <c r="G79" s="212"/>
      <c r="H79" s="213"/>
      <c r="I79" s="214"/>
      <c r="J79" s="143"/>
      <c r="K79" s="143"/>
      <c r="L79" s="143"/>
      <c r="M79" s="143"/>
      <c r="N79" s="185"/>
      <c r="O79" s="144"/>
      <c r="P79" s="37"/>
      <c r="Q79" s="37"/>
      <c r="R79" s="37"/>
      <c r="S79" s="141"/>
      <c r="V79" s="141"/>
      <c r="W79" s="141"/>
      <c r="X79" s="141"/>
    </row>
    <row r="80" spans="2:24" s="4" customFormat="1" ht="14.25" customHeight="1" x14ac:dyDescent="0.25">
      <c r="B80" s="775" t="s">
        <v>194</v>
      </c>
      <c r="C80" s="776"/>
      <c r="D80" s="145">
        <f>SUM(D10:D79)-D57-D62</f>
        <v>0</v>
      </c>
      <c r="E80" s="146"/>
      <c r="F80" s="145">
        <f>(SUM(F10:F79))</f>
        <v>0</v>
      </c>
      <c r="G80" s="147"/>
      <c r="H80" s="148"/>
      <c r="I80" s="145">
        <f>SUM(I10:I79)</f>
        <v>0</v>
      </c>
      <c r="J80" s="149"/>
      <c r="K80" s="149"/>
      <c r="L80" s="149"/>
      <c r="M80" s="149"/>
      <c r="N80" s="186"/>
      <c r="O80" s="150"/>
      <c r="P80" s="150"/>
      <c r="Q80" s="150"/>
      <c r="R80" s="150"/>
      <c r="S80" s="151"/>
      <c r="V80" s="151"/>
      <c r="W80" s="151"/>
      <c r="X80" s="151"/>
    </row>
    <row r="81" spans="2:24" x14ac:dyDescent="0.25">
      <c r="D81" s="152"/>
      <c r="E81" s="153"/>
      <c r="F81" s="153"/>
      <c r="G81" s="153"/>
      <c r="H81" s="154" t="s">
        <v>253</v>
      </c>
      <c r="I81" s="299">
        <f>D8*60/1000</f>
        <v>0</v>
      </c>
      <c r="J81" s="143"/>
      <c r="K81" s="143"/>
      <c r="L81" s="143"/>
      <c r="M81" s="143"/>
      <c r="N81" s="187"/>
      <c r="O81" s="38"/>
      <c r="S81" s="11"/>
      <c r="V81" s="11"/>
      <c r="W81" s="11"/>
      <c r="X81" s="11"/>
    </row>
    <row r="82" spans="2:24" x14ac:dyDescent="0.25">
      <c r="D82" s="152"/>
      <c r="E82" s="155"/>
      <c r="F82" s="155"/>
      <c r="G82" s="155"/>
      <c r="H82" s="156" t="s">
        <v>231</v>
      </c>
      <c r="I82" s="145">
        <f>I80+I81</f>
        <v>0</v>
      </c>
      <c r="J82" s="149"/>
      <c r="K82" s="149"/>
      <c r="L82" s="149"/>
      <c r="M82" s="149"/>
      <c r="N82" s="187"/>
      <c r="S82" s="11"/>
      <c r="V82" s="11"/>
      <c r="W82" s="11"/>
      <c r="X82" s="11"/>
    </row>
    <row r="83" spans="2:24" x14ac:dyDescent="0.25">
      <c r="O83" s="38"/>
      <c r="S83" s="11"/>
      <c r="V83" s="11"/>
      <c r="W83" s="11"/>
      <c r="X83" s="11"/>
    </row>
    <row r="84" spans="2:24" x14ac:dyDescent="0.25">
      <c r="B84" s="722" t="str">
        <f>'P24'!B83</f>
        <v>Verze 4 (18. 9. 2025, www.carc.cz), kontakty: Ing. Jan Klír, CSc. (603 520 684; jan.klir@carc.cz), Ing. Lada Kozlovská (733 375 632; lada.kozlovska@carc.cz)</v>
      </c>
      <c r="C84" s="722"/>
      <c r="D84" s="722"/>
      <c r="E84" s="722"/>
      <c r="F84" s="722"/>
      <c r="G84" s="722"/>
      <c r="H84" s="722"/>
      <c r="I84" s="722"/>
      <c r="J84" s="20"/>
      <c r="K84" s="20"/>
      <c r="L84" s="20"/>
      <c r="M84" s="20"/>
      <c r="N84" s="188"/>
      <c r="O84" s="11"/>
      <c r="P84" s="11"/>
      <c r="Q84" s="11"/>
      <c r="R84" s="11"/>
      <c r="S84" s="11"/>
      <c r="T84" s="11"/>
      <c r="V84" s="11"/>
      <c r="W84" s="11"/>
      <c r="X84" s="11"/>
    </row>
    <row r="85" spans="2:24" x14ac:dyDescent="0.25">
      <c r="B85" s="11"/>
      <c r="C85" s="11"/>
      <c r="D85" s="11"/>
      <c r="E85" s="20"/>
      <c r="F85" s="20"/>
      <c r="G85" s="20"/>
      <c r="H85" s="20"/>
      <c r="I85" s="20"/>
      <c r="J85" s="20"/>
      <c r="K85" s="20"/>
      <c r="L85" s="20"/>
      <c r="M85" s="20"/>
      <c r="N85" s="188"/>
      <c r="O85" s="11"/>
      <c r="P85" s="11"/>
      <c r="Q85" s="11"/>
      <c r="R85" s="11"/>
      <c r="S85" s="11"/>
      <c r="T85" s="11"/>
      <c r="V85" s="11"/>
      <c r="W85" s="11"/>
      <c r="X85" s="11"/>
    </row>
    <row r="86" spans="2:24" x14ac:dyDescent="0.25">
      <c r="B86" s="11"/>
      <c r="C86" s="11"/>
      <c r="D86" s="11"/>
      <c r="E86" s="20"/>
      <c r="F86" s="20"/>
      <c r="G86" s="20"/>
      <c r="H86" s="20"/>
      <c r="I86" s="20"/>
      <c r="J86" s="20"/>
      <c r="K86" s="20"/>
      <c r="L86" s="20"/>
      <c r="M86" s="20"/>
      <c r="N86" s="188"/>
      <c r="O86" s="11"/>
      <c r="P86" s="11"/>
      <c r="Q86" s="11"/>
      <c r="R86" s="11"/>
      <c r="S86" s="11"/>
      <c r="T86" s="11"/>
      <c r="V86" s="11"/>
      <c r="W86" s="11"/>
      <c r="X86" s="11"/>
    </row>
    <row r="87" spans="2:24" x14ac:dyDescent="0.25">
      <c r="B87" s="11"/>
      <c r="C87" s="11"/>
      <c r="D87" s="11"/>
      <c r="E87" s="157"/>
      <c r="F87" s="157"/>
      <c r="G87" s="157"/>
      <c r="H87" s="157"/>
      <c r="I87" s="157"/>
      <c r="J87" s="157"/>
      <c r="K87" s="157"/>
      <c r="L87" s="157"/>
      <c r="M87" s="157"/>
      <c r="N87" s="188"/>
      <c r="O87" s="11"/>
      <c r="P87" s="11"/>
      <c r="Q87" s="11"/>
      <c r="R87" s="11"/>
      <c r="S87" s="11"/>
      <c r="T87" s="11"/>
      <c r="V87" s="11"/>
      <c r="W87" s="11"/>
      <c r="X87" s="11"/>
    </row>
    <row r="88" spans="2:24" x14ac:dyDescent="0.25">
      <c r="B88" s="11"/>
      <c r="C88" s="11"/>
      <c r="D88" s="11"/>
      <c r="E88" s="20"/>
      <c r="F88" s="20"/>
      <c r="G88" s="20"/>
      <c r="H88" s="20"/>
      <c r="I88" s="20"/>
      <c r="J88" s="20"/>
      <c r="K88" s="20"/>
      <c r="L88" s="20"/>
      <c r="M88" s="20"/>
      <c r="N88" s="188"/>
      <c r="O88" s="11"/>
      <c r="P88" s="11"/>
      <c r="Q88" s="11"/>
      <c r="R88" s="11"/>
      <c r="S88" s="11"/>
      <c r="T88" s="11"/>
      <c r="V88" s="11"/>
      <c r="W88" s="11"/>
      <c r="X88" s="11"/>
    </row>
    <row r="89" spans="2:24" x14ac:dyDescent="0.25">
      <c r="B89" s="11"/>
      <c r="C89" s="11"/>
      <c r="D89" s="11"/>
      <c r="E89" s="20"/>
      <c r="F89" s="20"/>
      <c r="G89" s="20"/>
      <c r="H89" s="20"/>
      <c r="I89" s="20"/>
      <c r="J89" s="20"/>
      <c r="K89" s="20"/>
      <c r="L89" s="20"/>
      <c r="M89" s="20"/>
      <c r="N89" s="188"/>
      <c r="O89" s="11"/>
      <c r="P89" s="11"/>
      <c r="Q89" s="11"/>
      <c r="R89" s="11"/>
      <c r="S89" s="11"/>
      <c r="T89" s="11"/>
      <c r="V89" s="11"/>
      <c r="W89" s="11"/>
      <c r="X89" s="11"/>
    </row>
    <row r="90" spans="2:24" x14ac:dyDescent="0.25">
      <c r="B90" s="11"/>
      <c r="C90" s="11"/>
      <c r="D90" s="11"/>
      <c r="E90" s="20"/>
      <c r="F90" s="20"/>
      <c r="G90" s="20"/>
      <c r="H90" s="20"/>
      <c r="I90" s="20"/>
      <c r="J90" s="20"/>
      <c r="K90" s="20"/>
      <c r="L90" s="20"/>
      <c r="M90" s="20"/>
      <c r="N90" s="188"/>
      <c r="O90" s="11"/>
      <c r="P90" s="11"/>
      <c r="Q90" s="11"/>
      <c r="R90" s="11"/>
      <c r="S90" s="11"/>
      <c r="T90" s="11"/>
      <c r="V90" s="11"/>
      <c r="W90" s="11"/>
      <c r="X90" s="11"/>
    </row>
    <row r="91" spans="2:24" x14ac:dyDescent="0.25">
      <c r="B91" s="11"/>
      <c r="C91" s="11"/>
      <c r="D91" s="11"/>
      <c r="E91" s="20"/>
      <c r="F91" s="20"/>
      <c r="G91" s="20"/>
      <c r="H91" s="20"/>
      <c r="I91" s="20"/>
      <c r="J91" s="20"/>
      <c r="K91" s="20"/>
      <c r="L91" s="20"/>
      <c r="M91" s="20"/>
      <c r="N91" s="188"/>
      <c r="O91" s="11"/>
      <c r="P91" s="11"/>
      <c r="Q91" s="11"/>
      <c r="R91" s="11"/>
      <c r="S91" s="11"/>
      <c r="T91" s="11"/>
      <c r="V91" s="11"/>
      <c r="W91" s="11"/>
      <c r="X91" s="11"/>
    </row>
    <row r="92" spans="2:24" x14ac:dyDescent="0.25">
      <c r="B92" s="11"/>
      <c r="C92" s="11"/>
      <c r="D92" s="11"/>
      <c r="E92" s="20"/>
      <c r="F92" s="20"/>
      <c r="G92" s="20"/>
      <c r="H92" s="20"/>
      <c r="I92" s="20"/>
      <c r="J92" s="20"/>
      <c r="K92" s="20"/>
      <c r="L92" s="20"/>
      <c r="M92" s="20"/>
      <c r="N92" s="188"/>
      <c r="O92" s="11"/>
      <c r="P92" s="11"/>
      <c r="Q92" s="11"/>
      <c r="R92" s="11"/>
      <c r="S92" s="11"/>
      <c r="T92" s="11"/>
      <c r="V92" s="11"/>
      <c r="W92" s="11"/>
      <c r="X92" s="11"/>
    </row>
    <row r="93" spans="2:24" x14ac:dyDescent="0.25">
      <c r="B93" s="11"/>
      <c r="C93" s="11"/>
      <c r="D93" s="11"/>
      <c r="E93" s="20"/>
      <c r="F93" s="20"/>
      <c r="G93" s="20"/>
      <c r="H93" s="20"/>
      <c r="I93" s="20"/>
      <c r="J93" s="20"/>
      <c r="K93" s="20"/>
      <c r="L93" s="20"/>
      <c r="M93" s="20"/>
      <c r="N93" s="188"/>
      <c r="O93" s="11"/>
      <c r="P93" s="11"/>
      <c r="Q93" s="11"/>
      <c r="R93" s="11"/>
      <c r="S93" s="11"/>
      <c r="T93" s="11"/>
      <c r="V93" s="11"/>
      <c r="W93" s="11"/>
      <c r="X93" s="11"/>
    </row>
    <row r="94" spans="2:24" x14ac:dyDescent="0.25">
      <c r="B94" s="11"/>
      <c r="C94" s="11"/>
      <c r="D94" s="11"/>
      <c r="E94" s="20"/>
      <c r="F94" s="20"/>
      <c r="G94" s="20"/>
      <c r="H94" s="20"/>
      <c r="I94" s="20"/>
      <c r="J94" s="20"/>
      <c r="K94" s="20"/>
      <c r="L94" s="20"/>
      <c r="M94" s="20"/>
      <c r="N94" s="188"/>
      <c r="O94" s="11"/>
      <c r="P94" s="11"/>
      <c r="Q94" s="11"/>
      <c r="R94" s="11"/>
      <c r="S94" s="11"/>
      <c r="T94" s="11"/>
      <c r="V94" s="11"/>
      <c r="W94" s="11"/>
      <c r="X94" s="11"/>
    </row>
    <row r="95" spans="2:24" x14ac:dyDescent="0.25">
      <c r="B95" s="11"/>
      <c r="C95" s="11"/>
      <c r="D95" s="11"/>
      <c r="E95" s="20"/>
      <c r="F95" s="20"/>
      <c r="G95" s="20"/>
      <c r="H95" s="20"/>
      <c r="I95" s="20"/>
      <c r="J95" s="20"/>
      <c r="K95" s="20"/>
      <c r="L95" s="20"/>
      <c r="M95" s="20"/>
      <c r="N95" s="188"/>
      <c r="O95" s="11"/>
      <c r="P95" s="11"/>
      <c r="Q95" s="11"/>
      <c r="R95" s="11"/>
      <c r="S95" s="11"/>
      <c r="T95" s="11"/>
      <c r="V95" s="11"/>
      <c r="W95" s="11"/>
      <c r="X95" s="11"/>
    </row>
    <row r="96" spans="2:24" x14ac:dyDescent="0.25">
      <c r="B96" s="11"/>
      <c r="C96" s="11"/>
      <c r="D96" s="11"/>
      <c r="E96" s="20"/>
      <c r="F96" s="20"/>
      <c r="G96" s="20"/>
      <c r="H96" s="20"/>
      <c r="I96" s="20"/>
      <c r="J96" s="20"/>
      <c r="K96" s="20"/>
      <c r="L96" s="20"/>
      <c r="M96" s="20"/>
      <c r="N96" s="188"/>
      <c r="O96" s="11"/>
      <c r="P96" s="11"/>
      <c r="Q96" s="11"/>
      <c r="R96" s="11"/>
      <c r="S96" s="11"/>
      <c r="T96" s="11"/>
      <c r="V96" s="11"/>
      <c r="W96" s="11"/>
      <c r="X96" s="11"/>
    </row>
    <row r="97" spans="2:24" x14ac:dyDescent="0.25">
      <c r="B97" s="11"/>
      <c r="C97" s="11"/>
      <c r="D97" s="11"/>
      <c r="E97" s="20"/>
      <c r="F97" s="20"/>
      <c r="G97" s="20"/>
      <c r="H97" s="20"/>
      <c r="I97" s="20"/>
      <c r="J97" s="20"/>
      <c r="K97" s="20"/>
      <c r="L97" s="20"/>
      <c r="M97" s="20"/>
      <c r="N97" s="188"/>
      <c r="O97" s="11"/>
      <c r="P97" s="11"/>
      <c r="Q97" s="11"/>
      <c r="R97" s="11"/>
      <c r="S97" s="11"/>
      <c r="T97" s="11"/>
      <c r="V97" s="11"/>
      <c r="W97" s="11"/>
      <c r="X97" s="11"/>
    </row>
    <row r="98" spans="2:24" x14ac:dyDescent="0.25">
      <c r="B98" s="11"/>
      <c r="C98" s="11"/>
      <c r="D98" s="11"/>
      <c r="E98" s="20"/>
      <c r="F98" s="20"/>
      <c r="G98" s="20"/>
      <c r="H98" s="20"/>
      <c r="I98" s="20"/>
      <c r="J98" s="20"/>
      <c r="K98" s="20"/>
      <c r="L98" s="20"/>
      <c r="M98" s="20"/>
      <c r="N98" s="188"/>
      <c r="O98" s="11"/>
      <c r="P98" s="11"/>
      <c r="Q98" s="11"/>
      <c r="R98" s="11"/>
      <c r="S98" s="11"/>
      <c r="T98" s="11"/>
      <c r="V98" s="11"/>
      <c r="W98" s="11"/>
      <c r="X98" s="11"/>
    </row>
  </sheetData>
  <sheetProtection algorithmName="SHA-512" hashValue="oq41S5tBiMyo8pRTvM1kvJ2ItGGSD3tZTH7gl8xqb+3qhiNu+G4QvMsBuIAr9EHLCW97KuTtKovcEcWBHkYXsQ==" saltValue="BCK5rQ2ERvPF7IuLnKPd5g==" spinCount="100000" sheet="1" formatCells="0" formatColumns="0" formatRows="0" selectLockedCells="1"/>
  <mergeCells count="21">
    <mergeCell ref="B84:I84"/>
    <mergeCell ref="B10:B11"/>
    <mergeCell ref="B15:B16"/>
    <mergeCell ref="B27:B28"/>
    <mergeCell ref="B74:B75"/>
    <mergeCell ref="B79:C79"/>
    <mergeCell ref="B80:C80"/>
    <mergeCell ref="J7:J9"/>
    <mergeCell ref="K7:K9"/>
    <mergeCell ref="N7:R7"/>
    <mergeCell ref="B8:C8"/>
    <mergeCell ref="N8:N9"/>
    <mergeCell ref="O8:O9"/>
    <mergeCell ref="P8:R8"/>
    <mergeCell ref="B9:C9"/>
    <mergeCell ref="B1:B2"/>
    <mergeCell ref="D2:I2"/>
    <mergeCell ref="B3:B6"/>
    <mergeCell ref="D3:I3"/>
    <mergeCell ref="B7:D7"/>
    <mergeCell ref="E7:I8"/>
  </mergeCells>
  <conditionalFormatting sqref="J10:K78">
    <cfRule type="cellIs" dxfId="112" priority="1" stopIfTrue="1" operator="equal">
      <formula>"!"</formula>
    </cfRule>
  </conditionalFormatting>
  <pageMargins left="0.7" right="0.7" top="0.78740157499999996" bottom="0.78740157499999996" header="0.3" footer="0.3"/>
  <pageSetup paperSize="9" orientation="portrait" verticalDpi="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915A4-218D-41F8-83C5-BBCD22F161FE}">
  <sheetPr>
    <tabColor theme="3" tint="0.59999389629810485"/>
  </sheetPr>
  <dimension ref="A1:O101"/>
  <sheetViews>
    <sheetView showGridLines="0" showZeros="0" zoomScale="90" zoomScaleNormal="90" workbookViewId="0">
      <pane ySplit="4" topLeftCell="A5" activePane="bottomLeft" state="frozen"/>
      <selection pane="bottomLeft" activeCell="B8" sqref="B8"/>
    </sheetView>
  </sheetViews>
  <sheetFormatPr defaultRowHeight="15" x14ac:dyDescent="0.25"/>
  <cols>
    <col min="1" max="1" width="82.85546875" customWidth="1"/>
    <col min="2" max="2" width="17.7109375" customWidth="1"/>
    <col min="3" max="3" width="9.42578125" customWidth="1"/>
    <col min="4" max="4" width="10.28515625" customWidth="1"/>
    <col min="5" max="5" width="9.42578125" customWidth="1"/>
    <col min="6" max="6" width="17.7109375" customWidth="1"/>
    <col min="7" max="7" width="9.42578125" customWidth="1"/>
    <col min="8" max="8" width="10.28515625" customWidth="1"/>
    <col min="9" max="9" width="9.42578125" customWidth="1"/>
    <col min="10" max="15" width="12.7109375" customWidth="1"/>
    <col min="16" max="17" width="9.140625" customWidth="1"/>
  </cols>
  <sheetData>
    <row r="1" spans="1:15" ht="23.25" customHeight="1" x14ac:dyDescent="0.25">
      <c r="A1" s="197" t="s">
        <v>439</v>
      </c>
      <c r="B1" s="794" t="s">
        <v>533</v>
      </c>
      <c r="C1" s="795"/>
      <c r="D1" s="795"/>
      <c r="E1" s="796"/>
      <c r="F1" s="797" t="s">
        <v>534</v>
      </c>
      <c r="G1" s="798"/>
      <c r="H1" s="798"/>
      <c r="I1" s="799"/>
      <c r="J1" s="800" t="s">
        <v>533</v>
      </c>
      <c r="K1" s="801"/>
      <c r="L1" s="801"/>
      <c r="M1" s="801" t="s">
        <v>534</v>
      </c>
      <c r="N1" s="801"/>
      <c r="O1" s="801"/>
    </row>
    <row r="2" spans="1:15" ht="23.25" customHeight="1" x14ac:dyDescent="0.25">
      <c r="A2" s="784"/>
      <c r="B2" s="787" t="s">
        <v>230</v>
      </c>
      <c r="C2" s="785" t="s">
        <v>30</v>
      </c>
      <c r="D2" s="785"/>
      <c r="E2" s="786"/>
      <c r="F2" s="789" t="s">
        <v>605</v>
      </c>
      <c r="G2" s="791" t="s">
        <v>30</v>
      </c>
      <c r="H2" s="791"/>
      <c r="I2" s="792"/>
      <c r="J2" s="782" t="s">
        <v>451</v>
      </c>
      <c r="K2" s="783"/>
      <c r="L2" s="783"/>
      <c r="M2" s="783" t="s">
        <v>451</v>
      </c>
      <c r="N2" s="783"/>
      <c r="O2" s="783"/>
    </row>
    <row r="3" spans="1:15" ht="23.25" customHeight="1" x14ac:dyDescent="0.25">
      <c r="A3" s="784"/>
      <c r="B3" s="788"/>
      <c r="C3" s="12" t="s">
        <v>1</v>
      </c>
      <c r="D3" s="12" t="s">
        <v>31</v>
      </c>
      <c r="E3" s="321" t="s">
        <v>32</v>
      </c>
      <c r="F3" s="790"/>
      <c r="G3" s="343" t="s">
        <v>1</v>
      </c>
      <c r="H3" s="343" t="s">
        <v>606</v>
      </c>
      <c r="I3" s="344" t="s">
        <v>607</v>
      </c>
      <c r="J3" s="337" t="s">
        <v>1</v>
      </c>
      <c r="K3" s="13" t="s">
        <v>31</v>
      </c>
      <c r="L3" s="13" t="s">
        <v>32</v>
      </c>
      <c r="M3" s="365" t="s">
        <v>1</v>
      </c>
      <c r="N3" s="365" t="s">
        <v>606</v>
      </c>
      <c r="O3" s="365" t="s">
        <v>607</v>
      </c>
    </row>
    <row r="4" spans="1:15" ht="23.25" customHeight="1" x14ac:dyDescent="0.25">
      <c r="A4" s="784"/>
      <c r="B4" s="322" t="s">
        <v>153</v>
      </c>
      <c r="C4" s="12" t="s">
        <v>9</v>
      </c>
      <c r="D4" s="12" t="s">
        <v>9</v>
      </c>
      <c r="E4" s="321" t="s">
        <v>9</v>
      </c>
      <c r="F4" s="322" t="s">
        <v>153</v>
      </c>
      <c r="G4" s="343" t="s">
        <v>9</v>
      </c>
      <c r="H4" s="343" t="s">
        <v>9</v>
      </c>
      <c r="I4" s="344" t="s">
        <v>9</v>
      </c>
      <c r="J4" s="336" t="s">
        <v>29</v>
      </c>
      <c r="K4" s="28" t="s">
        <v>29</v>
      </c>
      <c r="L4" s="28" t="s">
        <v>29</v>
      </c>
      <c r="M4" s="28" t="s">
        <v>29</v>
      </c>
      <c r="N4" s="28" t="s">
        <v>29</v>
      </c>
      <c r="O4" s="28" t="s">
        <v>29</v>
      </c>
    </row>
    <row r="5" spans="1:15" ht="16.5" customHeight="1" x14ac:dyDescent="0.25">
      <c r="A5" s="14" t="s">
        <v>24</v>
      </c>
      <c r="B5" s="323"/>
      <c r="C5" s="93"/>
      <c r="D5" s="93"/>
      <c r="E5" s="324"/>
      <c r="F5" s="345"/>
      <c r="G5" s="346"/>
      <c r="H5" s="346"/>
      <c r="I5" s="347"/>
      <c r="J5" s="338"/>
      <c r="K5" s="93"/>
      <c r="L5" s="93"/>
      <c r="M5" s="346"/>
      <c r="N5" s="346"/>
      <c r="O5" s="346"/>
    </row>
    <row r="6" spans="1:15" ht="16.5" customHeight="1" x14ac:dyDescent="0.25">
      <c r="A6" s="316" t="s">
        <v>21</v>
      </c>
      <c r="B6" s="348"/>
      <c r="C6" s="15">
        <v>15</v>
      </c>
      <c r="D6" s="15"/>
      <c r="E6" s="326"/>
      <c r="F6" s="348"/>
      <c r="G6" s="349">
        <v>15</v>
      </c>
      <c r="H6" s="349"/>
      <c r="I6" s="350"/>
      <c r="J6" s="339">
        <f t="shared" ref="J6:L6" si="0">$B6*C6/100</f>
        <v>0</v>
      </c>
      <c r="K6" s="301">
        <f t="shared" si="0"/>
        <v>0</v>
      </c>
      <c r="L6" s="301">
        <f t="shared" si="0"/>
        <v>0</v>
      </c>
      <c r="M6" s="301">
        <f>$F6*G6/100</f>
        <v>0</v>
      </c>
      <c r="N6" s="301">
        <f t="shared" ref="N6:O6" si="1">$F6*H6/100</f>
        <v>0</v>
      </c>
      <c r="O6" s="301">
        <f t="shared" si="1"/>
        <v>0</v>
      </c>
    </row>
    <row r="7" spans="1:15" ht="16.5" customHeight="1" x14ac:dyDescent="0.25">
      <c r="A7" s="316" t="s">
        <v>51</v>
      </c>
      <c r="B7" s="348"/>
      <c r="C7" s="15">
        <v>33.5</v>
      </c>
      <c r="D7" s="15"/>
      <c r="E7" s="326"/>
      <c r="F7" s="348"/>
      <c r="G7" s="349">
        <v>33.5</v>
      </c>
      <c r="H7" s="349"/>
      <c r="I7" s="350"/>
      <c r="J7" s="339">
        <f t="shared" ref="J7:J21" si="2">$B7*C7/100</f>
        <v>0</v>
      </c>
      <c r="K7" s="301">
        <f t="shared" ref="K7:K21" si="3">$B7*D7/100</f>
        <v>0</v>
      </c>
      <c r="L7" s="301">
        <f t="shared" ref="L7:L21" si="4">$B7*E7/100</f>
        <v>0</v>
      </c>
      <c r="M7" s="301">
        <f t="shared" ref="M7:M21" si="5">$F7*G7/100</f>
        <v>0</v>
      </c>
      <c r="N7" s="301">
        <f t="shared" ref="N7:N21" si="6">$F7*H7/100</f>
        <v>0</v>
      </c>
      <c r="O7" s="301">
        <f t="shared" ref="O7:O21" si="7">$F7*I7/100</f>
        <v>0</v>
      </c>
    </row>
    <row r="8" spans="1:15" ht="16.5" customHeight="1" x14ac:dyDescent="0.25">
      <c r="A8" s="316" t="s">
        <v>57</v>
      </c>
      <c r="B8" s="348"/>
      <c r="C8" s="15">
        <v>27</v>
      </c>
      <c r="D8" s="15"/>
      <c r="E8" s="326"/>
      <c r="F8" s="348"/>
      <c r="G8" s="349">
        <v>27</v>
      </c>
      <c r="H8" s="349"/>
      <c r="I8" s="350"/>
      <c r="J8" s="339">
        <f t="shared" si="2"/>
        <v>0</v>
      </c>
      <c r="K8" s="301">
        <f t="shared" si="3"/>
        <v>0</v>
      </c>
      <c r="L8" s="301">
        <f t="shared" si="4"/>
        <v>0</v>
      </c>
      <c r="M8" s="301">
        <f t="shared" si="5"/>
        <v>0</v>
      </c>
      <c r="N8" s="301">
        <f t="shared" si="6"/>
        <v>0</v>
      </c>
      <c r="O8" s="301">
        <f t="shared" si="7"/>
        <v>0</v>
      </c>
    </row>
    <row r="9" spans="1:15" ht="16.5" customHeight="1" x14ac:dyDescent="0.25">
      <c r="A9" s="316" t="s">
        <v>34</v>
      </c>
      <c r="B9" s="348"/>
      <c r="C9" s="15">
        <v>19</v>
      </c>
      <c r="D9" s="15"/>
      <c r="E9" s="326"/>
      <c r="F9" s="348"/>
      <c r="G9" s="349">
        <v>19</v>
      </c>
      <c r="H9" s="349"/>
      <c r="I9" s="350"/>
      <c r="J9" s="339">
        <f t="shared" si="2"/>
        <v>0</v>
      </c>
      <c r="K9" s="301">
        <f t="shared" si="3"/>
        <v>0</v>
      </c>
      <c r="L9" s="301">
        <f t="shared" si="4"/>
        <v>0</v>
      </c>
      <c r="M9" s="301">
        <f t="shared" si="5"/>
        <v>0</v>
      </c>
      <c r="N9" s="301">
        <f t="shared" si="6"/>
        <v>0</v>
      </c>
      <c r="O9" s="301">
        <f t="shared" si="7"/>
        <v>0</v>
      </c>
    </row>
    <row r="10" spans="1:15" ht="16.5" customHeight="1" x14ac:dyDescent="0.25">
      <c r="A10" s="316" t="s">
        <v>22</v>
      </c>
      <c r="B10" s="348"/>
      <c r="C10" s="15">
        <v>20.5</v>
      </c>
      <c r="D10" s="15"/>
      <c r="E10" s="326"/>
      <c r="F10" s="348"/>
      <c r="G10" s="349">
        <v>20.5</v>
      </c>
      <c r="H10" s="349"/>
      <c r="I10" s="350"/>
      <c r="J10" s="339">
        <f t="shared" si="2"/>
        <v>0</v>
      </c>
      <c r="K10" s="301">
        <f t="shared" si="3"/>
        <v>0</v>
      </c>
      <c r="L10" s="301">
        <f t="shared" si="4"/>
        <v>0</v>
      </c>
      <c r="M10" s="301">
        <f t="shared" si="5"/>
        <v>0</v>
      </c>
      <c r="N10" s="301">
        <f t="shared" si="6"/>
        <v>0</v>
      </c>
      <c r="O10" s="301">
        <f t="shared" si="7"/>
        <v>0</v>
      </c>
    </row>
    <row r="11" spans="1:15" ht="16.5" customHeight="1" x14ac:dyDescent="0.25">
      <c r="A11" s="316" t="s">
        <v>10</v>
      </c>
      <c r="B11" s="348"/>
      <c r="C11" s="15">
        <v>20</v>
      </c>
      <c r="D11" s="15"/>
      <c r="E11" s="326"/>
      <c r="F11" s="348"/>
      <c r="G11" s="349">
        <v>20</v>
      </c>
      <c r="H11" s="349"/>
      <c r="I11" s="350"/>
      <c r="J11" s="339">
        <f t="shared" si="2"/>
        <v>0</v>
      </c>
      <c r="K11" s="301">
        <f t="shared" si="3"/>
        <v>0</v>
      </c>
      <c r="L11" s="301">
        <f t="shared" si="4"/>
        <v>0</v>
      </c>
      <c r="M11" s="301">
        <f t="shared" si="5"/>
        <v>0</v>
      </c>
      <c r="N11" s="301">
        <f t="shared" si="6"/>
        <v>0</v>
      </c>
      <c r="O11" s="301">
        <f t="shared" si="7"/>
        <v>0</v>
      </c>
    </row>
    <row r="12" spans="1:15" ht="16.5" customHeight="1" x14ac:dyDescent="0.25">
      <c r="A12" s="316" t="s">
        <v>49</v>
      </c>
      <c r="B12" s="348"/>
      <c r="C12" s="15">
        <v>26</v>
      </c>
      <c r="D12" s="15"/>
      <c r="E12" s="326"/>
      <c r="F12" s="348"/>
      <c r="G12" s="349">
        <v>26</v>
      </c>
      <c r="H12" s="349"/>
      <c r="I12" s="350"/>
      <c r="J12" s="339">
        <f t="shared" si="2"/>
        <v>0</v>
      </c>
      <c r="K12" s="301">
        <f t="shared" si="3"/>
        <v>0</v>
      </c>
      <c r="L12" s="301">
        <f t="shared" si="4"/>
        <v>0</v>
      </c>
      <c r="M12" s="301">
        <f t="shared" si="5"/>
        <v>0</v>
      </c>
      <c r="N12" s="301">
        <f t="shared" si="6"/>
        <v>0</v>
      </c>
      <c r="O12" s="301">
        <f t="shared" si="7"/>
        <v>0</v>
      </c>
    </row>
    <row r="13" spans="1:15" ht="16.5" customHeight="1" x14ac:dyDescent="0.25">
      <c r="A13" s="316" t="s">
        <v>50</v>
      </c>
      <c r="B13" s="348"/>
      <c r="C13" s="15">
        <v>25</v>
      </c>
      <c r="D13" s="15"/>
      <c r="E13" s="326"/>
      <c r="F13" s="348"/>
      <c r="G13" s="349">
        <v>25</v>
      </c>
      <c r="H13" s="349"/>
      <c r="I13" s="350"/>
      <c r="J13" s="339">
        <f t="shared" si="2"/>
        <v>0</v>
      </c>
      <c r="K13" s="301">
        <f t="shared" si="3"/>
        <v>0</v>
      </c>
      <c r="L13" s="301">
        <f t="shared" si="4"/>
        <v>0</v>
      </c>
      <c r="M13" s="301">
        <f t="shared" si="5"/>
        <v>0</v>
      </c>
      <c r="N13" s="301">
        <f t="shared" si="6"/>
        <v>0</v>
      </c>
      <c r="O13" s="301">
        <f t="shared" si="7"/>
        <v>0</v>
      </c>
    </row>
    <row r="14" spans="1:15" ht="16.5" customHeight="1" x14ac:dyDescent="0.25">
      <c r="A14" s="316" t="s">
        <v>23</v>
      </c>
      <c r="B14" s="348"/>
      <c r="C14" s="15">
        <v>24</v>
      </c>
      <c r="D14" s="15"/>
      <c r="E14" s="326"/>
      <c r="F14" s="348"/>
      <c r="G14" s="349">
        <v>24</v>
      </c>
      <c r="H14" s="349"/>
      <c r="I14" s="350"/>
      <c r="J14" s="339">
        <f t="shared" si="2"/>
        <v>0</v>
      </c>
      <c r="K14" s="301">
        <f t="shared" si="3"/>
        <v>0</v>
      </c>
      <c r="L14" s="301">
        <f t="shared" si="4"/>
        <v>0</v>
      </c>
      <c r="M14" s="301">
        <f t="shared" si="5"/>
        <v>0</v>
      </c>
      <c r="N14" s="301">
        <f t="shared" si="6"/>
        <v>0</v>
      </c>
      <c r="O14" s="301">
        <f t="shared" si="7"/>
        <v>0</v>
      </c>
    </row>
    <row r="15" spans="1:15" ht="16.5" customHeight="1" x14ac:dyDescent="0.25">
      <c r="A15" s="316" t="s">
        <v>35</v>
      </c>
      <c r="B15" s="348"/>
      <c r="C15" s="15">
        <v>46</v>
      </c>
      <c r="D15" s="15"/>
      <c r="E15" s="326"/>
      <c r="F15" s="348"/>
      <c r="G15" s="349">
        <v>46</v>
      </c>
      <c r="H15" s="349"/>
      <c r="I15" s="350"/>
      <c r="J15" s="339">
        <f t="shared" si="2"/>
        <v>0</v>
      </c>
      <c r="K15" s="301">
        <f t="shared" si="3"/>
        <v>0</v>
      </c>
      <c r="L15" s="301">
        <f t="shared" si="4"/>
        <v>0</v>
      </c>
      <c r="M15" s="301">
        <f t="shared" si="5"/>
        <v>0</v>
      </c>
      <c r="N15" s="301">
        <f t="shared" si="6"/>
        <v>0</v>
      </c>
      <c r="O15" s="301">
        <f t="shared" si="7"/>
        <v>0</v>
      </c>
    </row>
    <row r="16" spans="1:15" ht="16.5" customHeight="1" x14ac:dyDescent="0.25">
      <c r="A16" s="316" t="s">
        <v>52</v>
      </c>
      <c r="B16" s="348"/>
      <c r="C16" s="15">
        <v>46</v>
      </c>
      <c r="D16" s="15"/>
      <c r="E16" s="326"/>
      <c r="F16" s="348"/>
      <c r="G16" s="349">
        <v>46</v>
      </c>
      <c r="H16" s="349"/>
      <c r="I16" s="350"/>
      <c r="J16" s="339">
        <f t="shared" si="2"/>
        <v>0</v>
      </c>
      <c r="K16" s="301">
        <f t="shared" si="3"/>
        <v>0</v>
      </c>
      <c r="L16" s="301">
        <f t="shared" si="4"/>
        <v>0</v>
      </c>
      <c r="M16" s="301">
        <f t="shared" si="5"/>
        <v>0</v>
      </c>
      <c r="N16" s="301">
        <f t="shared" si="6"/>
        <v>0</v>
      </c>
      <c r="O16" s="301">
        <f t="shared" si="7"/>
        <v>0</v>
      </c>
    </row>
    <row r="17" spans="1:15" ht="16.5" customHeight="1" x14ac:dyDescent="0.25">
      <c r="A17" s="316" t="s">
        <v>53</v>
      </c>
      <c r="B17" s="348"/>
      <c r="C17" s="15">
        <v>38</v>
      </c>
      <c r="D17" s="15"/>
      <c r="E17" s="326"/>
      <c r="F17" s="348"/>
      <c r="G17" s="349">
        <v>38</v>
      </c>
      <c r="H17" s="349"/>
      <c r="I17" s="350"/>
      <c r="J17" s="339">
        <f t="shared" si="2"/>
        <v>0</v>
      </c>
      <c r="K17" s="301">
        <f t="shared" si="3"/>
        <v>0</v>
      </c>
      <c r="L17" s="301">
        <f t="shared" si="4"/>
        <v>0</v>
      </c>
      <c r="M17" s="301">
        <f t="shared" si="5"/>
        <v>0</v>
      </c>
      <c r="N17" s="301">
        <f t="shared" si="6"/>
        <v>0</v>
      </c>
      <c r="O17" s="301">
        <f t="shared" si="7"/>
        <v>0</v>
      </c>
    </row>
    <row r="18" spans="1:15" ht="16.5" customHeight="1" x14ac:dyDescent="0.25">
      <c r="A18" s="316" t="s">
        <v>36</v>
      </c>
      <c r="B18" s="348"/>
      <c r="C18" s="15">
        <v>33</v>
      </c>
      <c r="D18" s="15"/>
      <c r="E18" s="326"/>
      <c r="F18" s="348"/>
      <c r="G18" s="349">
        <v>33</v>
      </c>
      <c r="H18" s="349"/>
      <c r="I18" s="350"/>
      <c r="J18" s="339">
        <f t="shared" si="2"/>
        <v>0</v>
      </c>
      <c r="K18" s="301">
        <f t="shared" si="3"/>
        <v>0</v>
      </c>
      <c r="L18" s="301">
        <f t="shared" si="4"/>
        <v>0</v>
      </c>
      <c r="M18" s="301">
        <f t="shared" si="5"/>
        <v>0</v>
      </c>
      <c r="N18" s="301">
        <f t="shared" si="6"/>
        <v>0</v>
      </c>
      <c r="O18" s="301">
        <f t="shared" si="7"/>
        <v>0</v>
      </c>
    </row>
    <row r="19" spans="1:15" ht="16.5" customHeight="1" x14ac:dyDescent="0.25">
      <c r="A19" s="316" t="s">
        <v>54</v>
      </c>
      <c r="B19" s="348"/>
      <c r="C19" s="15">
        <v>46</v>
      </c>
      <c r="D19" s="15"/>
      <c r="E19" s="326"/>
      <c r="F19" s="348"/>
      <c r="G19" s="349">
        <v>46</v>
      </c>
      <c r="H19" s="349"/>
      <c r="I19" s="350"/>
      <c r="J19" s="339">
        <f t="shared" si="2"/>
        <v>0</v>
      </c>
      <c r="K19" s="301">
        <f t="shared" si="3"/>
        <v>0</v>
      </c>
      <c r="L19" s="301">
        <f t="shared" si="4"/>
        <v>0</v>
      </c>
      <c r="M19" s="301">
        <f t="shared" si="5"/>
        <v>0</v>
      </c>
      <c r="N19" s="301">
        <f t="shared" si="6"/>
        <v>0</v>
      </c>
      <c r="O19" s="301">
        <f t="shared" si="7"/>
        <v>0</v>
      </c>
    </row>
    <row r="20" spans="1:15" ht="16.5" customHeight="1" x14ac:dyDescent="0.25">
      <c r="A20" s="316" t="s">
        <v>37</v>
      </c>
      <c r="B20" s="348"/>
      <c r="C20" s="15">
        <v>28</v>
      </c>
      <c r="D20" s="15"/>
      <c r="E20" s="326"/>
      <c r="F20" s="348"/>
      <c r="G20" s="349">
        <v>28</v>
      </c>
      <c r="H20" s="349"/>
      <c r="I20" s="350"/>
      <c r="J20" s="339">
        <f t="shared" si="2"/>
        <v>0</v>
      </c>
      <c r="K20" s="301">
        <f t="shared" si="3"/>
        <v>0</v>
      </c>
      <c r="L20" s="301">
        <f t="shared" si="4"/>
        <v>0</v>
      </c>
      <c r="M20" s="301">
        <f t="shared" si="5"/>
        <v>0</v>
      </c>
      <c r="N20" s="301">
        <f t="shared" si="6"/>
        <v>0</v>
      </c>
      <c r="O20" s="301">
        <f t="shared" si="7"/>
        <v>0</v>
      </c>
    </row>
    <row r="21" spans="1:15" ht="16.5" customHeight="1" x14ac:dyDescent="0.25">
      <c r="A21" s="316" t="s">
        <v>38</v>
      </c>
      <c r="B21" s="348"/>
      <c r="C21" s="15">
        <v>30</v>
      </c>
      <c r="D21" s="15"/>
      <c r="E21" s="326"/>
      <c r="F21" s="348"/>
      <c r="G21" s="349">
        <v>30</v>
      </c>
      <c r="H21" s="349"/>
      <c r="I21" s="350"/>
      <c r="J21" s="339">
        <f t="shared" si="2"/>
        <v>0</v>
      </c>
      <c r="K21" s="301">
        <f t="shared" si="3"/>
        <v>0</v>
      </c>
      <c r="L21" s="301">
        <f t="shared" si="4"/>
        <v>0</v>
      </c>
      <c r="M21" s="301">
        <f t="shared" si="5"/>
        <v>0</v>
      </c>
      <c r="N21" s="301">
        <f t="shared" si="6"/>
        <v>0</v>
      </c>
      <c r="O21" s="301">
        <f t="shared" si="7"/>
        <v>0</v>
      </c>
    </row>
    <row r="22" spans="1:15" ht="16.5" customHeight="1" x14ac:dyDescent="0.25">
      <c r="A22" s="317" t="s">
        <v>617</v>
      </c>
      <c r="B22" s="327"/>
      <c r="C22" s="96"/>
      <c r="D22" s="96"/>
      <c r="E22" s="328"/>
      <c r="F22" s="351"/>
      <c r="G22" s="96"/>
      <c r="H22" s="96"/>
      <c r="I22" s="328"/>
      <c r="J22" s="340"/>
      <c r="K22" s="96"/>
      <c r="L22" s="96"/>
      <c r="M22" s="96"/>
      <c r="N22" s="96"/>
      <c r="O22" s="96"/>
    </row>
    <row r="23" spans="1:15" ht="16.5" customHeight="1" x14ac:dyDescent="0.25">
      <c r="A23" s="318"/>
      <c r="B23" s="325"/>
      <c r="C23" s="8"/>
      <c r="D23" s="8"/>
      <c r="E23" s="329"/>
      <c r="F23" s="348"/>
      <c r="G23" s="352"/>
      <c r="H23" s="352"/>
      <c r="I23" s="353"/>
      <c r="J23" s="339">
        <f t="shared" ref="J23" si="8">$B23*C23/100</f>
        <v>0</v>
      </c>
      <c r="K23" s="301">
        <f t="shared" ref="K23" si="9">$B23*D23/100</f>
        <v>0</v>
      </c>
      <c r="L23" s="301">
        <f t="shared" ref="L23" si="10">$B23*E23/100</f>
        <v>0</v>
      </c>
      <c r="M23" s="301">
        <f t="shared" ref="M23" si="11">$F23*G23/100</f>
        <v>0</v>
      </c>
      <c r="N23" s="301">
        <f t="shared" ref="N23" si="12">$F23*H23/100</f>
        <v>0</v>
      </c>
      <c r="O23" s="301">
        <f t="shared" ref="O23" si="13">$F23*I23/100</f>
        <v>0</v>
      </c>
    </row>
    <row r="24" spans="1:15" ht="16.5" customHeight="1" x14ac:dyDescent="0.25">
      <c r="A24" s="318"/>
      <c r="B24" s="325"/>
      <c r="C24" s="8"/>
      <c r="D24" s="8"/>
      <c r="E24" s="329"/>
      <c r="F24" s="348"/>
      <c r="G24" s="352"/>
      <c r="H24" s="352"/>
      <c r="I24" s="353"/>
      <c r="J24" s="339">
        <f t="shared" ref="J24:J30" si="14">$B24*C24/100</f>
        <v>0</v>
      </c>
      <c r="K24" s="301">
        <f t="shared" ref="K24:K30" si="15">$B24*D24/100</f>
        <v>0</v>
      </c>
      <c r="L24" s="301">
        <f t="shared" ref="L24:L30" si="16">$B24*E24/100</f>
        <v>0</v>
      </c>
      <c r="M24" s="301">
        <f t="shared" ref="M24:M30" si="17">$F24*G24/100</f>
        <v>0</v>
      </c>
      <c r="N24" s="301">
        <f t="shared" ref="N24:N30" si="18">$F24*H24/100</f>
        <v>0</v>
      </c>
      <c r="O24" s="301">
        <f t="shared" ref="O24:O30" si="19">$F24*I24/100</f>
        <v>0</v>
      </c>
    </row>
    <row r="25" spans="1:15" ht="16.5" customHeight="1" x14ac:dyDescent="0.25">
      <c r="A25" s="318"/>
      <c r="B25" s="325"/>
      <c r="C25" s="8"/>
      <c r="D25" s="8"/>
      <c r="E25" s="329"/>
      <c r="F25" s="348"/>
      <c r="G25" s="352"/>
      <c r="H25" s="352"/>
      <c r="I25" s="353"/>
      <c r="J25" s="339">
        <f t="shared" si="14"/>
        <v>0</v>
      </c>
      <c r="K25" s="301">
        <f t="shared" si="15"/>
        <v>0</v>
      </c>
      <c r="L25" s="301">
        <f t="shared" si="16"/>
        <v>0</v>
      </c>
      <c r="M25" s="301">
        <f t="shared" si="17"/>
        <v>0</v>
      </c>
      <c r="N25" s="301">
        <f t="shared" si="18"/>
        <v>0</v>
      </c>
      <c r="O25" s="301">
        <f t="shared" si="19"/>
        <v>0</v>
      </c>
    </row>
    <row r="26" spans="1:15" ht="16.5" customHeight="1" x14ac:dyDescent="0.25">
      <c r="A26" s="318"/>
      <c r="B26" s="325"/>
      <c r="C26" s="8"/>
      <c r="D26" s="8"/>
      <c r="E26" s="329"/>
      <c r="F26" s="348"/>
      <c r="G26" s="352"/>
      <c r="H26" s="352"/>
      <c r="I26" s="353"/>
      <c r="J26" s="339">
        <f t="shared" si="14"/>
        <v>0</v>
      </c>
      <c r="K26" s="301">
        <f t="shared" si="15"/>
        <v>0</v>
      </c>
      <c r="L26" s="301">
        <f t="shared" si="16"/>
        <v>0</v>
      </c>
      <c r="M26" s="301">
        <f t="shared" si="17"/>
        <v>0</v>
      </c>
      <c r="N26" s="301">
        <f t="shared" si="18"/>
        <v>0</v>
      </c>
      <c r="O26" s="301">
        <f t="shared" si="19"/>
        <v>0</v>
      </c>
    </row>
    <row r="27" spans="1:15" ht="16.5" customHeight="1" x14ac:dyDescent="0.25">
      <c r="A27" s="318"/>
      <c r="B27" s="325"/>
      <c r="C27" s="8"/>
      <c r="D27" s="8"/>
      <c r="E27" s="329"/>
      <c r="F27" s="348"/>
      <c r="G27" s="352"/>
      <c r="H27" s="352"/>
      <c r="I27" s="353"/>
      <c r="J27" s="339">
        <f t="shared" si="14"/>
        <v>0</v>
      </c>
      <c r="K27" s="301">
        <f t="shared" si="15"/>
        <v>0</v>
      </c>
      <c r="L27" s="301">
        <f t="shared" si="16"/>
        <v>0</v>
      </c>
      <c r="M27" s="301">
        <f t="shared" si="17"/>
        <v>0</v>
      </c>
      <c r="N27" s="301">
        <f t="shared" si="18"/>
        <v>0</v>
      </c>
      <c r="O27" s="301">
        <f t="shared" si="19"/>
        <v>0</v>
      </c>
    </row>
    <row r="28" spans="1:15" ht="16.5" customHeight="1" x14ac:dyDescent="0.25">
      <c r="A28" s="318"/>
      <c r="B28" s="325"/>
      <c r="C28" s="8"/>
      <c r="D28" s="8"/>
      <c r="E28" s="329"/>
      <c r="F28" s="348"/>
      <c r="G28" s="352"/>
      <c r="H28" s="352"/>
      <c r="I28" s="353"/>
      <c r="J28" s="339">
        <f t="shared" si="14"/>
        <v>0</v>
      </c>
      <c r="K28" s="301">
        <f t="shared" si="15"/>
        <v>0</v>
      </c>
      <c r="L28" s="301">
        <f t="shared" si="16"/>
        <v>0</v>
      </c>
      <c r="M28" s="301">
        <f t="shared" si="17"/>
        <v>0</v>
      </c>
      <c r="N28" s="301">
        <f t="shared" si="18"/>
        <v>0</v>
      </c>
      <c r="O28" s="301">
        <f t="shared" si="19"/>
        <v>0</v>
      </c>
    </row>
    <row r="29" spans="1:15" ht="16.5" customHeight="1" x14ac:dyDescent="0.25">
      <c r="A29" s="318"/>
      <c r="B29" s="325"/>
      <c r="C29" s="8"/>
      <c r="D29" s="8"/>
      <c r="E29" s="329"/>
      <c r="F29" s="348"/>
      <c r="G29" s="352"/>
      <c r="H29" s="352"/>
      <c r="I29" s="353"/>
      <c r="J29" s="339">
        <f t="shared" si="14"/>
        <v>0</v>
      </c>
      <c r="K29" s="301">
        <f t="shared" si="15"/>
        <v>0</v>
      </c>
      <c r="L29" s="301">
        <f t="shared" si="16"/>
        <v>0</v>
      </c>
      <c r="M29" s="301">
        <f t="shared" si="17"/>
        <v>0</v>
      </c>
      <c r="N29" s="301">
        <f t="shared" si="18"/>
        <v>0</v>
      </c>
      <c r="O29" s="301">
        <f t="shared" si="19"/>
        <v>0</v>
      </c>
    </row>
    <row r="30" spans="1:15" ht="16.5" customHeight="1" x14ac:dyDescent="0.25">
      <c r="A30" s="318"/>
      <c r="B30" s="325"/>
      <c r="C30" s="8"/>
      <c r="D30" s="8"/>
      <c r="E30" s="329"/>
      <c r="F30" s="348"/>
      <c r="G30" s="352"/>
      <c r="H30" s="352"/>
      <c r="I30" s="353"/>
      <c r="J30" s="339">
        <f t="shared" si="14"/>
        <v>0</v>
      </c>
      <c r="K30" s="301">
        <f t="shared" si="15"/>
        <v>0</v>
      </c>
      <c r="L30" s="301">
        <f t="shared" si="16"/>
        <v>0</v>
      </c>
      <c r="M30" s="301">
        <f t="shared" si="17"/>
        <v>0</v>
      </c>
      <c r="N30" s="301">
        <f t="shared" si="18"/>
        <v>0</v>
      </c>
      <c r="O30" s="301">
        <f t="shared" si="19"/>
        <v>0</v>
      </c>
    </row>
    <row r="31" spans="1:15" ht="16.5" customHeight="1" x14ac:dyDescent="0.25">
      <c r="A31" s="16" t="s">
        <v>25</v>
      </c>
      <c r="B31" s="330"/>
      <c r="C31" s="94"/>
      <c r="D31" s="94"/>
      <c r="E31" s="331"/>
      <c r="F31" s="354"/>
      <c r="G31" s="355"/>
      <c r="H31" s="355"/>
      <c r="I31" s="356"/>
      <c r="J31" s="341"/>
      <c r="K31" s="94"/>
      <c r="L31" s="94"/>
      <c r="M31" s="355"/>
      <c r="N31" s="355"/>
      <c r="O31" s="355"/>
    </row>
    <row r="32" spans="1:15" ht="16.5" customHeight="1" x14ac:dyDescent="0.25">
      <c r="A32" s="316" t="s">
        <v>48</v>
      </c>
      <c r="B32" s="325"/>
      <c r="C32" s="15">
        <v>12</v>
      </c>
      <c r="D32" s="15">
        <v>52</v>
      </c>
      <c r="E32" s="326"/>
      <c r="F32" s="348"/>
      <c r="G32" s="349">
        <v>12</v>
      </c>
      <c r="H32" s="349">
        <v>52</v>
      </c>
      <c r="I32" s="350"/>
      <c r="J32" s="339">
        <f t="shared" ref="J32" si="20">$B32*C32/100</f>
        <v>0</v>
      </c>
      <c r="K32" s="301">
        <f t="shared" ref="K32" si="21">$B32*D32/100</f>
        <v>0</v>
      </c>
      <c r="L32" s="301">
        <f t="shared" ref="L32" si="22">$B32*E32/100</f>
        <v>0</v>
      </c>
      <c r="M32" s="301">
        <f t="shared" ref="M32" si="23">$F32*G32/100</f>
        <v>0</v>
      </c>
      <c r="N32" s="301">
        <f t="shared" ref="N32" si="24">$F32*H32/100</f>
        <v>0</v>
      </c>
      <c r="O32" s="301">
        <f t="shared" ref="O32" si="25">$F32*I32/100</f>
        <v>0</v>
      </c>
    </row>
    <row r="33" spans="1:15" ht="16.5" customHeight="1" x14ac:dyDescent="0.25">
      <c r="A33" s="316" t="s">
        <v>11</v>
      </c>
      <c r="B33" s="325"/>
      <c r="C33" s="15">
        <v>18</v>
      </c>
      <c r="D33" s="15">
        <v>46</v>
      </c>
      <c r="E33" s="326"/>
      <c r="F33" s="348"/>
      <c r="G33" s="349">
        <v>18</v>
      </c>
      <c r="H33" s="349">
        <v>46</v>
      </c>
      <c r="I33" s="350"/>
      <c r="J33" s="339">
        <f t="shared" ref="J33:J35" si="26">$B33*C33/100</f>
        <v>0</v>
      </c>
      <c r="K33" s="301">
        <f t="shared" ref="K33:K35" si="27">$B33*D33/100</f>
        <v>0</v>
      </c>
      <c r="L33" s="301">
        <f t="shared" ref="L33:L35" si="28">$B33*E33/100</f>
        <v>0</v>
      </c>
      <c r="M33" s="301">
        <f t="shared" ref="M33:M35" si="29">$F33*G33/100</f>
        <v>0</v>
      </c>
      <c r="N33" s="301">
        <f t="shared" ref="N33:N35" si="30">$F33*H33/100</f>
        <v>0</v>
      </c>
      <c r="O33" s="301">
        <f t="shared" ref="O33:O35" si="31">$F33*I33/100</f>
        <v>0</v>
      </c>
    </row>
    <row r="34" spans="1:15" ht="16.5" customHeight="1" x14ac:dyDescent="0.25">
      <c r="A34" s="316" t="s">
        <v>55</v>
      </c>
      <c r="B34" s="325"/>
      <c r="C34" s="15"/>
      <c r="D34" s="15">
        <v>45</v>
      </c>
      <c r="E34" s="326"/>
      <c r="F34" s="348"/>
      <c r="G34" s="349"/>
      <c r="H34" s="349">
        <v>45</v>
      </c>
      <c r="I34" s="350"/>
      <c r="J34" s="339">
        <f t="shared" si="26"/>
        <v>0</v>
      </c>
      <c r="K34" s="301">
        <f t="shared" si="27"/>
        <v>0</v>
      </c>
      <c r="L34" s="301">
        <f t="shared" si="28"/>
        <v>0</v>
      </c>
      <c r="M34" s="301">
        <f t="shared" si="29"/>
        <v>0</v>
      </c>
      <c r="N34" s="301">
        <f t="shared" si="30"/>
        <v>0</v>
      </c>
      <c r="O34" s="301">
        <f t="shared" si="31"/>
        <v>0</v>
      </c>
    </row>
    <row r="35" spans="1:15" ht="16.5" customHeight="1" x14ac:dyDescent="0.25">
      <c r="A35" s="316" t="s">
        <v>12</v>
      </c>
      <c r="B35" s="325"/>
      <c r="C35" s="15"/>
      <c r="D35" s="15">
        <v>40</v>
      </c>
      <c r="E35" s="326"/>
      <c r="F35" s="348"/>
      <c r="G35" s="349"/>
      <c r="H35" s="349">
        <v>40</v>
      </c>
      <c r="I35" s="350"/>
      <c r="J35" s="339">
        <f t="shared" si="26"/>
        <v>0</v>
      </c>
      <c r="K35" s="301">
        <f t="shared" si="27"/>
        <v>0</v>
      </c>
      <c r="L35" s="301">
        <f t="shared" si="28"/>
        <v>0</v>
      </c>
      <c r="M35" s="301">
        <f t="shared" si="29"/>
        <v>0</v>
      </c>
      <c r="N35" s="301">
        <f t="shared" si="30"/>
        <v>0</v>
      </c>
      <c r="O35" s="301">
        <f t="shared" si="31"/>
        <v>0</v>
      </c>
    </row>
    <row r="36" spans="1:15" ht="16.5" customHeight="1" x14ac:dyDescent="0.25">
      <c r="A36" s="317" t="s">
        <v>615</v>
      </c>
      <c r="B36" s="327"/>
      <c r="C36" s="96"/>
      <c r="D36" s="96"/>
      <c r="E36" s="328"/>
      <c r="F36" s="351"/>
      <c r="G36" s="96"/>
      <c r="H36" s="96"/>
      <c r="I36" s="328"/>
      <c r="J36" s="340"/>
      <c r="K36" s="96"/>
      <c r="L36" s="96"/>
      <c r="M36" s="96"/>
      <c r="N36" s="96"/>
      <c r="O36" s="96"/>
    </row>
    <row r="37" spans="1:15" ht="16.5" customHeight="1" x14ac:dyDescent="0.25">
      <c r="A37" s="318"/>
      <c r="B37" s="325"/>
      <c r="C37" s="8"/>
      <c r="D37" s="8"/>
      <c r="E37" s="329"/>
      <c r="F37" s="348"/>
      <c r="G37" s="352"/>
      <c r="H37" s="352"/>
      <c r="I37" s="353"/>
      <c r="J37" s="339">
        <f t="shared" ref="J37" si="32">$B37*C37/100</f>
        <v>0</v>
      </c>
      <c r="K37" s="301">
        <f t="shared" ref="K37" si="33">$B37*D37/100</f>
        <v>0</v>
      </c>
      <c r="L37" s="301">
        <f t="shared" ref="L37" si="34">$B37*E37/100</f>
        <v>0</v>
      </c>
      <c r="M37" s="301">
        <f t="shared" ref="M37" si="35">$F37*G37/100</f>
        <v>0</v>
      </c>
      <c r="N37" s="301">
        <f t="shared" ref="N37" si="36">$F37*H37/100</f>
        <v>0</v>
      </c>
      <c r="O37" s="301">
        <f t="shared" ref="O37" si="37">$F37*I37/100</f>
        <v>0</v>
      </c>
    </row>
    <row r="38" spans="1:15" ht="16.5" customHeight="1" x14ac:dyDescent="0.25">
      <c r="A38" s="318"/>
      <c r="B38" s="325"/>
      <c r="C38" s="8"/>
      <c r="D38" s="8"/>
      <c r="E38" s="329"/>
      <c r="F38" s="348"/>
      <c r="G38" s="352"/>
      <c r="H38" s="352"/>
      <c r="I38" s="353"/>
      <c r="J38" s="339">
        <f t="shared" ref="J38:J39" si="38">$B38*C38/100</f>
        <v>0</v>
      </c>
      <c r="K38" s="301">
        <f t="shared" ref="K38:K39" si="39">$B38*D38/100</f>
        <v>0</v>
      </c>
      <c r="L38" s="301">
        <f t="shared" ref="L38:L39" si="40">$B38*E38/100</f>
        <v>0</v>
      </c>
      <c r="M38" s="301">
        <f t="shared" ref="M38:M39" si="41">$F38*G38/100</f>
        <v>0</v>
      </c>
      <c r="N38" s="301">
        <f t="shared" ref="N38:N39" si="42">$F38*H38/100</f>
        <v>0</v>
      </c>
      <c r="O38" s="301">
        <f t="shared" ref="O38:O39" si="43">$F38*I38/100</f>
        <v>0</v>
      </c>
    </row>
    <row r="39" spans="1:15" ht="16.5" customHeight="1" x14ac:dyDescent="0.25">
      <c r="A39" s="318"/>
      <c r="B39" s="325"/>
      <c r="C39" s="8"/>
      <c r="D39" s="8"/>
      <c r="E39" s="329"/>
      <c r="F39" s="348"/>
      <c r="G39" s="352"/>
      <c r="H39" s="352"/>
      <c r="I39" s="353"/>
      <c r="J39" s="339">
        <f t="shared" si="38"/>
        <v>0</v>
      </c>
      <c r="K39" s="301">
        <f t="shared" si="39"/>
        <v>0</v>
      </c>
      <c r="L39" s="301">
        <f t="shared" si="40"/>
        <v>0</v>
      </c>
      <c r="M39" s="301">
        <f t="shared" si="41"/>
        <v>0</v>
      </c>
      <c r="N39" s="301">
        <f t="shared" si="42"/>
        <v>0</v>
      </c>
      <c r="O39" s="301">
        <f t="shared" si="43"/>
        <v>0</v>
      </c>
    </row>
    <row r="40" spans="1:15" ht="16.5" customHeight="1" x14ac:dyDescent="0.25">
      <c r="A40" s="16" t="s">
        <v>26</v>
      </c>
      <c r="B40" s="330"/>
      <c r="C40" s="94"/>
      <c r="D40" s="94"/>
      <c r="E40" s="331"/>
      <c r="F40" s="354"/>
      <c r="G40" s="355"/>
      <c r="H40" s="355"/>
      <c r="I40" s="356"/>
      <c r="J40" s="341"/>
      <c r="K40" s="94"/>
      <c r="L40" s="94"/>
      <c r="M40" s="355"/>
      <c r="N40" s="355"/>
      <c r="O40" s="355"/>
    </row>
    <row r="41" spans="1:15" ht="16.5" customHeight="1" x14ac:dyDescent="0.25">
      <c r="A41" s="316" t="s">
        <v>27</v>
      </c>
      <c r="B41" s="325"/>
      <c r="C41" s="15"/>
      <c r="D41" s="15"/>
      <c r="E41" s="326">
        <v>60</v>
      </c>
      <c r="F41" s="348"/>
      <c r="G41" s="349"/>
      <c r="H41" s="349"/>
      <c r="I41" s="350">
        <v>60</v>
      </c>
      <c r="J41" s="339">
        <f t="shared" ref="J41" si="44">$B41*C41/100</f>
        <v>0</v>
      </c>
      <c r="K41" s="301">
        <f t="shared" ref="K41" si="45">$B41*D41/100</f>
        <v>0</v>
      </c>
      <c r="L41" s="301">
        <f t="shared" ref="L41" si="46">$B41*E41/100</f>
        <v>0</v>
      </c>
      <c r="M41" s="301">
        <f t="shared" ref="M41" si="47">$F41*G41/100</f>
        <v>0</v>
      </c>
      <c r="N41" s="301">
        <f t="shared" ref="N41" si="48">$F41*H41/100</f>
        <v>0</v>
      </c>
      <c r="O41" s="301">
        <f t="shared" ref="O41" si="49">$F41*I41/100</f>
        <v>0</v>
      </c>
    </row>
    <row r="42" spans="1:15" ht="16.5" customHeight="1" x14ac:dyDescent="0.25">
      <c r="A42" s="316" t="s">
        <v>56</v>
      </c>
      <c r="B42" s="325"/>
      <c r="C42" s="15"/>
      <c r="D42" s="15"/>
      <c r="E42" s="326">
        <v>40</v>
      </c>
      <c r="F42" s="348"/>
      <c r="G42" s="349"/>
      <c r="H42" s="349"/>
      <c r="I42" s="350">
        <v>40</v>
      </c>
      <c r="J42" s="339">
        <f t="shared" ref="J42:J45" si="50">$B42*C42/100</f>
        <v>0</v>
      </c>
      <c r="K42" s="301">
        <f t="shared" ref="K42:K45" si="51">$B42*D42/100</f>
        <v>0</v>
      </c>
      <c r="L42" s="301">
        <f t="shared" ref="L42:L45" si="52">$B42*E42/100</f>
        <v>0</v>
      </c>
      <c r="M42" s="301">
        <f t="shared" ref="M42:M45" si="53">$F42*G42/100</f>
        <v>0</v>
      </c>
      <c r="N42" s="301">
        <f t="shared" ref="N42:N45" si="54">$F42*H42/100</f>
        <v>0</v>
      </c>
      <c r="O42" s="301">
        <f t="shared" ref="O42:O45" si="55">$F42*I42/100</f>
        <v>0</v>
      </c>
    </row>
    <row r="43" spans="1:15" ht="16.5" customHeight="1" x14ac:dyDescent="0.25">
      <c r="A43" s="316" t="s">
        <v>13</v>
      </c>
      <c r="B43" s="325"/>
      <c r="C43" s="15"/>
      <c r="D43" s="15"/>
      <c r="E43" s="326">
        <v>30</v>
      </c>
      <c r="F43" s="348"/>
      <c r="G43" s="349"/>
      <c r="H43" s="349"/>
      <c r="I43" s="350">
        <v>30</v>
      </c>
      <c r="J43" s="339">
        <f t="shared" si="50"/>
        <v>0</v>
      </c>
      <c r="K43" s="301">
        <f t="shared" si="51"/>
        <v>0</v>
      </c>
      <c r="L43" s="301">
        <f t="shared" si="52"/>
        <v>0</v>
      </c>
      <c r="M43" s="301">
        <f t="shared" si="53"/>
        <v>0</v>
      </c>
      <c r="N43" s="301">
        <f t="shared" si="54"/>
        <v>0</v>
      </c>
      <c r="O43" s="301">
        <f t="shared" si="55"/>
        <v>0</v>
      </c>
    </row>
    <row r="44" spans="1:15" ht="16.5" customHeight="1" x14ac:dyDescent="0.25">
      <c r="A44" s="316" t="s">
        <v>14</v>
      </c>
      <c r="B44" s="325"/>
      <c r="C44" s="15"/>
      <c r="D44" s="15"/>
      <c r="E44" s="326">
        <v>11</v>
      </c>
      <c r="F44" s="348"/>
      <c r="G44" s="349"/>
      <c r="H44" s="349"/>
      <c r="I44" s="350">
        <v>11</v>
      </c>
      <c r="J44" s="339">
        <f t="shared" si="50"/>
        <v>0</v>
      </c>
      <c r="K44" s="301">
        <f t="shared" si="51"/>
        <v>0</v>
      </c>
      <c r="L44" s="301">
        <f t="shared" si="52"/>
        <v>0</v>
      </c>
      <c r="M44" s="301">
        <f t="shared" si="53"/>
        <v>0</v>
      </c>
      <c r="N44" s="301">
        <f t="shared" si="54"/>
        <v>0</v>
      </c>
      <c r="O44" s="301">
        <f t="shared" si="55"/>
        <v>0</v>
      </c>
    </row>
    <row r="45" spans="1:15" ht="16.5" customHeight="1" x14ac:dyDescent="0.25">
      <c r="A45" s="316" t="s">
        <v>33</v>
      </c>
      <c r="B45" s="325"/>
      <c r="C45" s="15"/>
      <c r="D45" s="15"/>
      <c r="E45" s="326">
        <v>50</v>
      </c>
      <c r="F45" s="348"/>
      <c r="G45" s="349"/>
      <c r="H45" s="349"/>
      <c r="I45" s="350">
        <v>50</v>
      </c>
      <c r="J45" s="339">
        <f t="shared" si="50"/>
        <v>0</v>
      </c>
      <c r="K45" s="301">
        <f t="shared" si="51"/>
        <v>0</v>
      </c>
      <c r="L45" s="301">
        <f t="shared" si="52"/>
        <v>0</v>
      </c>
      <c r="M45" s="301">
        <f t="shared" si="53"/>
        <v>0</v>
      </c>
      <c r="N45" s="301">
        <f t="shared" si="54"/>
        <v>0</v>
      </c>
      <c r="O45" s="301">
        <f t="shared" si="55"/>
        <v>0</v>
      </c>
    </row>
    <row r="46" spans="1:15" ht="16.5" customHeight="1" x14ac:dyDescent="0.25">
      <c r="A46" s="317" t="s">
        <v>616</v>
      </c>
      <c r="B46" s="327"/>
      <c r="C46" s="96"/>
      <c r="D46" s="96"/>
      <c r="E46" s="328"/>
      <c r="F46" s="351"/>
      <c r="G46" s="96"/>
      <c r="H46" s="96"/>
      <c r="I46" s="328"/>
      <c r="J46" s="340"/>
      <c r="K46" s="96"/>
      <c r="L46" s="96"/>
      <c r="M46" s="96"/>
      <c r="N46" s="96"/>
      <c r="O46" s="96"/>
    </row>
    <row r="47" spans="1:15" ht="16.5" customHeight="1" x14ac:dyDescent="0.25">
      <c r="A47" s="318"/>
      <c r="B47" s="325"/>
      <c r="C47" s="8"/>
      <c r="D47" s="8"/>
      <c r="E47" s="329"/>
      <c r="F47" s="348"/>
      <c r="G47" s="352"/>
      <c r="H47" s="352"/>
      <c r="I47" s="353"/>
      <c r="J47" s="339">
        <f t="shared" ref="J47" si="56">$B47*C47/100</f>
        <v>0</v>
      </c>
      <c r="K47" s="301">
        <f t="shared" ref="K47" si="57">$B47*D47/100</f>
        <v>0</v>
      </c>
      <c r="L47" s="301">
        <f t="shared" ref="L47" si="58">$B47*E47/100</f>
        <v>0</v>
      </c>
      <c r="M47" s="301">
        <f t="shared" ref="M47" si="59">$F47*G47/100</f>
        <v>0</v>
      </c>
      <c r="N47" s="301">
        <f t="shared" ref="N47" si="60">$F47*H47/100</f>
        <v>0</v>
      </c>
      <c r="O47" s="301">
        <f t="shared" ref="O47" si="61">$F47*I47/100</f>
        <v>0</v>
      </c>
    </row>
    <row r="48" spans="1:15" ht="16.5" customHeight="1" x14ac:dyDescent="0.25">
      <c r="A48" s="318"/>
      <c r="B48" s="325"/>
      <c r="C48" s="8"/>
      <c r="D48" s="8"/>
      <c r="E48" s="329"/>
      <c r="F48" s="348"/>
      <c r="G48" s="352"/>
      <c r="H48" s="352"/>
      <c r="I48" s="353"/>
      <c r="J48" s="339">
        <f t="shared" ref="J48:J49" si="62">$B48*C48/100</f>
        <v>0</v>
      </c>
      <c r="K48" s="301">
        <f t="shared" ref="K48:K49" si="63">$B48*D48/100</f>
        <v>0</v>
      </c>
      <c r="L48" s="301">
        <f t="shared" ref="L48:L49" si="64">$B48*E48/100</f>
        <v>0</v>
      </c>
      <c r="M48" s="301">
        <f t="shared" ref="M48:M49" si="65">$F48*G48/100</f>
        <v>0</v>
      </c>
      <c r="N48" s="301">
        <f t="shared" ref="N48:N49" si="66">$F48*H48/100</f>
        <v>0</v>
      </c>
      <c r="O48" s="301">
        <f t="shared" ref="O48:O49" si="67">$F48*I48/100</f>
        <v>0</v>
      </c>
    </row>
    <row r="49" spans="1:15" ht="16.5" customHeight="1" x14ac:dyDescent="0.25">
      <c r="A49" s="318"/>
      <c r="B49" s="325"/>
      <c r="C49" s="8"/>
      <c r="D49" s="8"/>
      <c r="E49" s="329"/>
      <c r="F49" s="348"/>
      <c r="G49" s="352"/>
      <c r="H49" s="352"/>
      <c r="I49" s="353"/>
      <c r="J49" s="339">
        <f t="shared" si="62"/>
        <v>0</v>
      </c>
      <c r="K49" s="301">
        <f t="shared" si="63"/>
        <v>0</v>
      </c>
      <c r="L49" s="301">
        <f t="shared" si="64"/>
        <v>0</v>
      </c>
      <c r="M49" s="301">
        <f t="shared" si="65"/>
        <v>0</v>
      </c>
      <c r="N49" s="301">
        <f t="shared" si="66"/>
        <v>0</v>
      </c>
      <c r="O49" s="301">
        <f t="shared" si="67"/>
        <v>0</v>
      </c>
    </row>
    <row r="50" spans="1:15" ht="16.5" customHeight="1" x14ac:dyDescent="0.25">
      <c r="A50" s="16" t="s">
        <v>28</v>
      </c>
      <c r="B50" s="330"/>
      <c r="C50" s="95"/>
      <c r="D50" s="95"/>
      <c r="E50" s="332"/>
      <c r="F50" s="354"/>
      <c r="G50" s="357"/>
      <c r="H50" s="357"/>
      <c r="I50" s="358"/>
      <c r="J50" s="341"/>
      <c r="K50" s="94"/>
      <c r="L50" s="94"/>
      <c r="M50" s="355"/>
      <c r="N50" s="355"/>
      <c r="O50" s="355"/>
    </row>
    <row r="51" spans="1:15" ht="16.5" customHeight="1" x14ac:dyDescent="0.25">
      <c r="A51" s="316" t="s">
        <v>39</v>
      </c>
      <c r="B51" s="325"/>
      <c r="C51" s="15">
        <v>15</v>
      </c>
      <c r="D51" s="15">
        <v>15</v>
      </c>
      <c r="E51" s="326">
        <v>15</v>
      </c>
      <c r="F51" s="348"/>
      <c r="G51" s="349">
        <v>15</v>
      </c>
      <c r="H51" s="349">
        <v>15</v>
      </c>
      <c r="I51" s="350">
        <v>15</v>
      </c>
      <c r="J51" s="339">
        <f t="shared" ref="J51" si="68">$B51*C51/100</f>
        <v>0</v>
      </c>
      <c r="K51" s="301">
        <f t="shared" ref="K51" si="69">$B51*D51/100</f>
        <v>0</v>
      </c>
      <c r="L51" s="301">
        <f t="shared" ref="L51" si="70">$B51*E51/100</f>
        <v>0</v>
      </c>
      <c r="M51" s="301">
        <f t="shared" ref="M51" si="71">$F51*G51/100</f>
        <v>0</v>
      </c>
      <c r="N51" s="301">
        <f t="shared" ref="N51" si="72">$F51*H51/100</f>
        <v>0</v>
      </c>
      <c r="O51" s="301">
        <f t="shared" ref="O51" si="73">$F51*I51/100</f>
        <v>0</v>
      </c>
    </row>
    <row r="52" spans="1:15" ht="16.5" customHeight="1" x14ac:dyDescent="0.25">
      <c r="A52" s="316" t="s">
        <v>40</v>
      </c>
      <c r="B52" s="325"/>
      <c r="C52" s="15">
        <v>16</v>
      </c>
      <c r="D52" s="15">
        <v>16</v>
      </c>
      <c r="E52" s="326">
        <v>16</v>
      </c>
      <c r="F52" s="348"/>
      <c r="G52" s="349">
        <v>16</v>
      </c>
      <c r="H52" s="349">
        <v>16</v>
      </c>
      <c r="I52" s="350">
        <v>16</v>
      </c>
      <c r="J52" s="339">
        <f t="shared" ref="J52:J65" si="74">$B52*C52/100</f>
        <v>0</v>
      </c>
      <c r="K52" s="301">
        <f t="shared" ref="K52:K65" si="75">$B52*D52/100</f>
        <v>0</v>
      </c>
      <c r="L52" s="301">
        <f t="shared" ref="L52:L65" si="76">$B52*E52/100</f>
        <v>0</v>
      </c>
      <c r="M52" s="301">
        <f t="shared" ref="M52:M65" si="77">$F52*G52/100</f>
        <v>0</v>
      </c>
      <c r="N52" s="301">
        <f t="shared" ref="N52:N65" si="78">$F52*H52/100</f>
        <v>0</v>
      </c>
      <c r="O52" s="301">
        <f t="shared" ref="O52:O65" si="79">$F52*I52/100</f>
        <v>0</v>
      </c>
    </row>
    <row r="53" spans="1:15" ht="16.5" customHeight="1" x14ac:dyDescent="0.25">
      <c r="A53" s="316" t="s">
        <v>15</v>
      </c>
      <c r="B53" s="325"/>
      <c r="C53" s="15">
        <v>13</v>
      </c>
      <c r="D53" s="15">
        <v>9</v>
      </c>
      <c r="E53" s="326">
        <v>16</v>
      </c>
      <c r="F53" s="348"/>
      <c r="G53" s="349">
        <v>13</v>
      </c>
      <c r="H53" s="349">
        <v>9</v>
      </c>
      <c r="I53" s="350">
        <v>16</v>
      </c>
      <c r="J53" s="339">
        <f t="shared" si="74"/>
        <v>0</v>
      </c>
      <c r="K53" s="301">
        <f t="shared" si="75"/>
        <v>0</v>
      </c>
      <c r="L53" s="301">
        <f t="shared" si="76"/>
        <v>0</v>
      </c>
      <c r="M53" s="301">
        <f t="shared" si="77"/>
        <v>0</v>
      </c>
      <c r="N53" s="301">
        <f t="shared" si="78"/>
        <v>0</v>
      </c>
      <c r="O53" s="301">
        <f t="shared" si="79"/>
        <v>0</v>
      </c>
    </row>
    <row r="54" spans="1:15" ht="16.5" customHeight="1" x14ac:dyDescent="0.25">
      <c r="A54" s="316" t="s">
        <v>41</v>
      </c>
      <c r="B54" s="325"/>
      <c r="C54" s="15">
        <v>14</v>
      </c>
      <c r="D54" s="15">
        <v>10</v>
      </c>
      <c r="E54" s="326">
        <v>16</v>
      </c>
      <c r="F54" s="348"/>
      <c r="G54" s="349">
        <v>14</v>
      </c>
      <c r="H54" s="349">
        <v>10</v>
      </c>
      <c r="I54" s="350">
        <v>16</v>
      </c>
      <c r="J54" s="339">
        <f t="shared" si="74"/>
        <v>0</v>
      </c>
      <c r="K54" s="301">
        <f t="shared" si="75"/>
        <v>0</v>
      </c>
      <c r="L54" s="301">
        <f t="shared" si="76"/>
        <v>0</v>
      </c>
      <c r="M54" s="301">
        <f t="shared" si="77"/>
        <v>0</v>
      </c>
      <c r="N54" s="301">
        <f t="shared" si="78"/>
        <v>0</v>
      </c>
      <c r="O54" s="301">
        <f t="shared" si="79"/>
        <v>0</v>
      </c>
    </row>
    <row r="55" spans="1:15" ht="16.5" customHeight="1" x14ac:dyDescent="0.25">
      <c r="A55" s="316" t="s">
        <v>42</v>
      </c>
      <c r="B55" s="325"/>
      <c r="C55" s="15">
        <v>12</v>
      </c>
      <c r="D55" s="15">
        <v>7</v>
      </c>
      <c r="E55" s="326">
        <v>16</v>
      </c>
      <c r="F55" s="348"/>
      <c r="G55" s="349">
        <v>12</v>
      </c>
      <c r="H55" s="349">
        <v>7</v>
      </c>
      <c r="I55" s="350">
        <v>16</v>
      </c>
      <c r="J55" s="339">
        <f t="shared" si="74"/>
        <v>0</v>
      </c>
      <c r="K55" s="301">
        <f t="shared" si="75"/>
        <v>0</v>
      </c>
      <c r="L55" s="301">
        <f t="shared" si="76"/>
        <v>0</v>
      </c>
      <c r="M55" s="301">
        <f t="shared" si="77"/>
        <v>0</v>
      </c>
      <c r="N55" s="301">
        <f t="shared" si="78"/>
        <v>0</v>
      </c>
      <c r="O55" s="301">
        <f t="shared" si="79"/>
        <v>0</v>
      </c>
    </row>
    <row r="56" spans="1:15" ht="16.5" customHeight="1" x14ac:dyDescent="0.25">
      <c r="A56" s="316" t="s">
        <v>16</v>
      </c>
      <c r="B56" s="325"/>
      <c r="C56" s="15">
        <v>7</v>
      </c>
      <c r="D56" s="15">
        <v>20</v>
      </c>
      <c r="E56" s="326">
        <v>28</v>
      </c>
      <c r="F56" s="348"/>
      <c r="G56" s="349">
        <v>7</v>
      </c>
      <c r="H56" s="349">
        <v>20</v>
      </c>
      <c r="I56" s="350">
        <v>28</v>
      </c>
      <c r="J56" s="339">
        <f t="shared" si="74"/>
        <v>0</v>
      </c>
      <c r="K56" s="301">
        <f t="shared" si="75"/>
        <v>0</v>
      </c>
      <c r="L56" s="301">
        <f t="shared" si="76"/>
        <v>0</v>
      </c>
      <c r="M56" s="301">
        <f t="shared" si="77"/>
        <v>0</v>
      </c>
      <c r="N56" s="301">
        <f t="shared" si="78"/>
        <v>0</v>
      </c>
      <c r="O56" s="301">
        <f t="shared" si="79"/>
        <v>0</v>
      </c>
    </row>
    <row r="57" spans="1:15" ht="16.5" customHeight="1" x14ac:dyDescent="0.25">
      <c r="A57" s="316" t="s">
        <v>44</v>
      </c>
      <c r="B57" s="325"/>
      <c r="C57" s="15">
        <v>9</v>
      </c>
      <c r="D57" s="15">
        <v>12</v>
      </c>
      <c r="E57" s="326">
        <v>25</v>
      </c>
      <c r="F57" s="348"/>
      <c r="G57" s="349">
        <v>9</v>
      </c>
      <c r="H57" s="349">
        <v>12</v>
      </c>
      <c r="I57" s="350">
        <v>25</v>
      </c>
      <c r="J57" s="339">
        <f t="shared" si="74"/>
        <v>0</v>
      </c>
      <c r="K57" s="301">
        <f t="shared" si="75"/>
        <v>0</v>
      </c>
      <c r="L57" s="301">
        <f t="shared" si="76"/>
        <v>0</v>
      </c>
      <c r="M57" s="301">
        <f t="shared" si="77"/>
        <v>0</v>
      </c>
      <c r="N57" s="301">
        <f t="shared" si="78"/>
        <v>0</v>
      </c>
      <c r="O57" s="301">
        <f t="shared" si="79"/>
        <v>0</v>
      </c>
    </row>
    <row r="58" spans="1:15" ht="16.5" customHeight="1" x14ac:dyDescent="0.25">
      <c r="A58" s="316" t="s">
        <v>43</v>
      </c>
      <c r="B58" s="325"/>
      <c r="C58" s="15">
        <v>8</v>
      </c>
      <c r="D58" s="15">
        <v>24</v>
      </c>
      <c r="E58" s="326">
        <v>24</v>
      </c>
      <c r="F58" s="348"/>
      <c r="G58" s="349">
        <v>8</v>
      </c>
      <c r="H58" s="349">
        <v>24</v>
      </c>
      <c r="I58" s="350">
        <v>24</v>
      </c>
      <c r="J58" s="339">
        <f t="shared" si="74"/>
        <v>0</v>
      </c>
      <c r="K58" s="301">
        <f t="shared" si="75"/>
        <v>0</v>
      </c>
      <c r="L58" s="301">
        <f t="shared" si="76"/>
        <v>0</v>
      </c>
      <c r="M58" s="301">
        <f t="shared" si="77"/>
        <v>0</v>
      </c>
      <c r="N58" s="301">
        <f t="shared" si="78"/>
        <v>0</v>
      </c>
      <c r="O58" s="301">
        <f t="shared" si="79"/>
        <v>0</v>
      </c>
    </row>
    <row r="59" spans="1:15" ht="16.5" customHeight="1" x14ac:dyDescent="0.25">
      <c r="A59" s="316" t="s">
        <v>45</v>
      </c>
      <c r="B59" s="325"/>
      <c r="C59" s="15">
        <v>9</v>
      </c>
      <c r="D59" s="15">
        <v>25</v>
      </c>
      <c r="E59" s="326">
        <v>25</v>
      </c>
      <c r="F59" s="348"/>
      <c r="G59" s="349">
        <v>9</v>
      </c>
      <c r="H59" s="349">
        <v>25</v>
      </c>
      <c r="I59" s="350">
        <v>25</v>
      </c>
      <c r="J59" s="339">
        <f t="shared" si="74"/>
        <v>0</v>
      </c>
      <c r="K59" s="301">
        <f t="shared" si="75"/>
        <v>0</v>
      </c>
      <c r="L59" s="301">
        <f t="shared" si="76"/>
        <v>0</v>
      </c>
      <c r="M59" s="301">
        <f t="shared" si="77"/>
        <v>0</v>
      </c>
      <c r="N59" s="301">
        <f t="shared" si="78"/>
        <v>0</v>
      </c>
      <c r="O59" s="301">
        <f t="shared" si="79"/>
        <v>0</v>
      </c>
    </row>
    <row r="60" spans="1:15" ht="16.5" customHeight="1" x14ac:dyDescent="0.25">
      <c r="A60" s="316" t="s">
        <v>46</v>
      </c>
      <c r="B60" s="325"/>
      <c r="C60" s="15"/>
      <c r="D60" s="15">
        <v>20</v>
      </c>
      <c r="E60" s="326">
        <v>30</v>
      </c>
      <c r="F60" s="348"/>
      <c r="G60" s="349"/>
      <c r="H60" s="349">
        <v>20</v>
      </c>
      <c r="I60" s="350">
        <v>30</v>
      </c>
      <c r="J60" s="339">
        <f t="shared" si="74"/>
        <v>0</v>
      </c>
      <c r="K60" s="301">
        <f t="shared" si="75"/>
        <v>0</v>
      </c>
      <c r="L60" s="301">
        <f t="shared" si="76"/>
        <v>0</v>
      </c>
      <c r="M60" s="301">
        <f t="shared" si="77"/>
        <v>0</v>
      </c>
      <c r="N60" s="301">
        <f t="shared" si="78"/>
        <v>0</v>
      </c>
      <c r="O60" s="301">
        <f t="shared" si="79"/>
        <v>0</v>
      </c>
    </row>
    <row r="61" spans="1:15" ht="16.5" customHeight="1" x14ac:dyDescent="0.25">
      <c r="A61" s="316" t="s">
        <v>47</v>
      </c>
      <c r="B61" s="325"/>
      <c r="C61" s="15">
        <v>12</v>
      </c>
      <c r="D61" s="15">
        <v>24</v>
      </c>
      <c r="E61" s="326">
        <v>12</v>
      </c>
      <c r="F61" s="348"/>
      <c r="G61" s="349">
        <v>12</v>
      </c>
      <c r="H61" s="349">
        <v>24</v>
      </c>
      <c r="I61" s="350">
        <v>12</v>
      </c>
      <c r="J61" s="339">
        <f t="shared" si="74"/>
        <v>0</v>
      </c>
      <c r="K61" s="301">
        <f t="shared" si="75"/>
        <v>0</v>
      </c>
      <c r="L61" s="301">
        <f t="shared" si="76"/>
        <v>0</v>
      </c>
      <c r="M61" s="301">
        <f t="shared" si="77"/>
        <v>0</v>
      </c>
      <c r="N61" s="301">
        <f t="shared" si="78"/>
        <v>0</v>
      </c>
      <c r="O61" s="301">
        <f t="shared" si="79"/>
        <v>0</v>
      </c>
    </row>
    <row r="62" spans="1:15" ht="16.5" customHeight="1" x14ac:dyDescent="0.25">
      <c r="A62" s="316" t="s">
        <v>17</v>
      </c>
      <c r="B62" s="325"/>
      <c r="C62" s="15">
        <v>26</v>
      </c>
      <c r="D62" s="15">
        <v>14</v>
      </c>
      <c r="E62" s="326"/>
      <c r="F62" s="348"/>
      <c r="G62" s="349">
        <v>26</v>
      </c>
      <c r="H62" s="349">
        <v>14</v>
      </c>
      <c r="I62" s="350"/>
      <c r="J62" s="339">
        <f t="shared" si="74"/>
        <v>0</v>
      </c>
      <c r="K62" s="301">
        <f t="shared" si="75"/>
        <v>0</v>
      </c>
      <c r="L62" s="301">
        <f t="shared" si="76"/>
        <v>0</v>
      </c>
      <c r="M62" s="301">
        <f t="shared" si="77"/>
        <v>0</v>
      </c>
      <c r="N62" s="301">
        <f t="shared" si="78"/>
        <v>0</v>
      </c>
      <c r="O62" s="301">
        <f t="shared" si="79"/>
        <v>0</v>
      </c>
    </row>
    <row r="63" spans="1:15" ht="16.5" customHeight="1" x14ac:dyDescent="0.25">
      <c r="A63" s="316" t="s">
        <v>18</v>
      </c>
      <c r="B63" s="325"/>
      <c r="C63" s="15">
        <v>26</v>
      </c>
      <c r="D63" s="15">
        <v>10</v>
      </c>
      <c r="E63" s="326"/>
      <c r="F63" s="348"/>
      <c r="G63" s="349">
        <v>26</v>
      </c>
      <c r="H63" s="349">
        <v>10</v>
      </c>
      <c r="I63" s="350"/>
      <c r="J63" s="339">
        <f t="shared" si="74"/>
        <v>0</v>
      </c>
      <c r="K63" s="301">
        <f t="shared" si="75"/>
        <v>0</v>
      </c>
      <c r="L63" s="301">
        <f t="shared" si="76"/>
        <v>0</v>
      </c>
      <c r="M63" s="301">
        <f t="shared" si="77"/>
        <v>0</v>
      </c>
      <c r="N63" s="301">
        <f t="shared" si="78"/>
        <v>0</v>
      </c>
      <c r="O63" s="301">
        <f t="shared" si="79"/>
        <v>0</v>
      </c>
    </row>
    <row r="64" spans="1:15" ht="16.5" customHeight="1" x14ac:dyDescent="0.25">
      <c r="A64" s="316" t="s">
        <v>19</v>
      </c>
      <c r="B64" s="325"/>
      <c r="C64" s="15">
        <v>3</v>
      </c>
      <c r="D64" s="15">
        <v>22</v>
      </c>
      <c r="E64" s="326"/>
      <c r="F64" s="348"/>
      <c r="G64" s="349">
        <v>3</v>
      </c>
      <c r="H64" s="349">
        <v>22</v>
      </c>
      <c r="I64" s="350"/>
      <c r="J64" s="339">
        <f t="shared" si="74"/>
        <v>0</v>
      </c>
      <c r="K64" s="301">
        <f t="shared" si="75"/>
        <v>0</v>
      </c>
      <c r="L64" s="301">
        <f t="shared" si="76"/>
        <v>0</v>
      </c>
      <c r="M64" s="301">
        <f t="shared" si="77"/>
        <v>0</v>
      </c>
      <c r="N64" s="301">
        <f t="shared" si="78"/>
        <v>0</v>
      </c>
      <c r="O64" s="301">
        <f t="shared" si="79"/>
        <v>0</v>
      </c>
    </row>
    <row r="65" spans="1:15" ht="16.5" customHeight="1" x14ac:dyDescent="0.25">
      <c r="A65" s="316" t="s">
        <v>20</v>
      </c>
      <c r="B65" s="325"/>
      <c r="C65" s="15">
        <v>3</v>
      </c>
      <c r="D65" s="15">
        <v>22</v>
      </c>
      <c r="E65" s="326"/>
      <c r="F65" s="348"/>
      <c r="G65" s="349">
        <v>3</v>
      </c>
      <c r="H65" s="349">
        <v>22</v>
      </c>
      <c r="I65" s="350"/>
      <c r="J65" s="339">
        <f t="shared" si="74"/>
        <v>0</v>
      </c>
      <c r="K65" s="301">
        <f t="shared" si="75"/>
        <v>0</v>
      </c>
      <c r="L65" s="301">
        <f t="shared" si="76"/>
        <v>0</v>
      </c>
      <c r="M65" s="301">
        <f t="shared" si="77"/>
        <v>0</v>
      </c>
      <c r="N65" s="301">
        <f t="shared" si="78"/>
        <v>0</v>
      </c>
      <c r="O65" s="301">
        <f t="shared" si="79"/>
        <v>0</v>
      </c>
    </row>
    <row r="66" spans="1:15" ht="16.5" customHeight="1" x14ac:dyDescent="0.25">
      <c r="A66" s="317" t="s">
        <v>614</v>
      </c>
      <c r="B66" s="327"/>
      <c r="C66" s="96"/>
      <c r="D66" s="96"/>
      <c r="E66" s="328"/>
      <c r="F66" s="351"/>
      <c r="G66" s="96"/>
      <c r="H66" s="96"/>
      <c r="I66" s="328"/>
      <c r="J66" s="340"/>
      <c r="K66" s="96"/>
      <c r="L66" s="96"/>
      <c r="M66" s="96"/>
      <c r="N66" s="96"/>
      <c r="O66" s="96"/>
    </row>
    <row r="67" spans="1:15" ht="16.5" customHeight="1" x14ac:dyDescent="0.25">
      <c r="A67" s="319"/>
      <c r="B67" s="325"/>
      <c r="C67" s="8"/>
      <c r="D67" s="8"/>
      <c r="E67" s="329"/>
      <c r="F67" s="348"/>
      <c r="G67" s="352"/>
      <c r="H67" s="352"/>
      <c r="I67" s="353"/>
      <c r="J67" s="339">
        <f t="shared" ref="J67" si="80">$B67*C67/100</f>
        <v>0</v>
      </c>
      <c r="K67" s="301">
        <f t="shared" ref="K67" si="81">$B67*D67/100</f>
        <v>0</v>
      </c>
      <c r="L67" s="301">
        <f t="shared" ref="L67" si="82">$B67*E67/100</f>
        <v>0</v>
      </c>
      <c r="M67" s="301">
        <f t="shared" ref="M67" si="83">$F67*G67/100</f>
        <v>0</v>
      </c>
      <c r="N67" s="301">
        <f t="shared" ref="N67" si="84">$F67*H67/100</f>
        <v>0</v>
      </c>
      <c r="O67" s="301">
        <f t="shared" ref="O67" si="85">$F67*I67/100</f>
        <v>0</v>
      </c>
    </row>
    <row r="68" spans="1:15" ht="16.5" customHeight="1" x14ac:dyDescent="0.25">
      <c r="A68" s="319"/>
      <c r="B68" s="325"/>
      <c r="C68" s="8"/>
      <c r="D68" s="8"/>
      <c r="E68" s="329"/>
      <c r="F68" s="348"/>
      <c r="G68" s="352"/>
      <c r="H68" s="352"/>
      <c r="I68" s="353"/>
      <c r="J68" s="339">
        <f t="shared" ref="J68:J73" si="86">$B68*C68/100</f>
        <v>0</v>
      </c>
      <c r="K68" s="301">
        <f t="shared" ref="K68:K73" si="87">$B68*D68/100</f>
        <v>0</v>
      </c>
      <c r="L68" s="301">
        <f t="shared" ref="L68:L73" si="88">$B68*E68/100</f>
        <v>0</v>
      </c>
      <c r="M68" s="301">
        <f t="shared" ref="M68:M73" si="89">$F68*G68/100</f>
        <v>0</v>
      </c>
      <c r="N68" s="301">
        <f t="shared" ref="N68:N73" si="90">$F68*H68/100</f>
        <v>0</v>
      </c>
      <c r="O68" s="301">
        <f t="shared" ref="O68:O73" si="91">$F68*I68/100</f>
        <v>0</v>
      </c>
    </row>
    <row r="69" spans="1:15" ht="16.5" customHeight="1" x14ac:dyDescent="0.25">
      <c r="A69" s="319"/>
      <c r="B69" s="325"/>
      <c r="C69" s="8"/>
      <c r="D69" s="8"/>
      <c r="E69" s="329"/>
      <c r="F69" s="348"/>
      <c r="G69" s="352"/>
      <c r="H69" s="352"/>
      <c r="I69" s="353"/>
      <c r="J69" s="339">
        <f t="shared" si="86"/>
        <v>0</v>
      </c>
      <c r="K69" s="301">
        <f t="shared" si="87"/>
        <v>0</v>
      </c>
      <c r="L69" s="301">
        <f t="shared" si="88"/>
        <v>0</v>
      </c>
      <c r="M69" s="301">
        <f t="shared" si="89"/>
        <v>0</v>
      </c>
      <c r="N69" s="301">
        <f t="shared" si="90"/>
        <v>0</v>
      </c>
      <c r="O69" s="301">
        <f t="shared" si="91"/>
        <v>0</v>
      </c>
    </row>
    <row r="70" spans="1:15" ht="16.5" customHeight="1" x14ac:dyDescent="0.25">
      <c r="A70" s="319"/>
      <c r="B70" s="325"/>
      <c r="C70" s="8"/>
      <c r="D70" s="8"/>
      <c r="E70" s="329"/>
      <c r="F70" s="348"/>
      <c r="G70" s="352"/>
      <c r="H70" s="352"/>
      <c r="I70" s="353"/>
      <c r="J70" s="339">
        <f t="shared" si="86"/>
        <v>0</v>
      </c>
      <c r="K70" s="301">
        <f t="shared" si="87"/>
        <v>0</v>
      </c>
      <c r="L70" s="301">
        <f t="shared" si="88"/>
        <v>0</v>
      </c>
      <c r="M70" s="301">
        <f t="shared" si="89"/>
        <v>0</v>
      </c>
      <c r="N70" s="301">
        <f t="shared" si="90"/>
        <v>0</v>
      </c>
      <c r="O70" s="301">
        <f t="shared" si="91"/>
        <v>0</v>
      </c>
    </row>
    <row r="71" spans="1:15" ht="16.5" customHeight="1" x14ac:dyDescent="0.25">
      <c r="A71" s="319"/>
      <c r="B71" s="325"/>
      <c r="C71" s="8"/>
      <c r="D71" s="8"/>
      <c r="E71" s="329"/>
      <c r="F71" s="348"/>
      <c r="G71" s="352"/>
      <c r="H71" s="352"/>
      <c r="I71" s="353"/>
      <c r="J71" s="339">
        <f t="shared" si="86"/>
        <v>0</v>
      </c>
      <c r="K71" s="301">
        <f t="shared" si="87"/>
        <v>0</v>
      </c>
      <c r="L71" s="301">
        <f t="shared" si="88"/>
        <v>0</v>
      </c>
      <c r="M71" s="301">
        <f t="shared" si="89"/>
        <v>0</v>
      </c>
      <c r="N71" s="301">
        <f t="shared" si="90"/>
        <v>0</v>
      </c>
      <c r="O71" s="301">
        <f t="shared" si="91"/>
        <v>0</v>
      </c>
    </row>
    <row r="72" spans="1:15" ht="16.5" customHeight="1" x14ac:dyDescent="0.25">
      <c r="A72" s="319"/>
      <c r="B72" s="325"/>
      <c r="C72" s="8"/>
      <c r="D72" s="8"/>
      <c r="E72" s="329"/>
      <c r="F72" s="348"/>
      <c r="G72" s="352"/>
      <c r="H72" s="352"/>
      <c r="I72" s="353"/>
      <c r="J72" s="339">
        <f t="shared" si="86"/>
        <v>0</v>
      </c>
      <c r="K72" s="301">
        <f t="shared" si="87"/>
        <v>0</v>
      </c>
      <c r="L72" s="301">
        <f t="shared" si="88"/>
        <v>0</v>
      </c>
      <c r="M72" s="301">
        <f t="shared" si="89"/>
        <v>0</v>
      </c>
      <c r="N72" s="301">
        <f t="shared" si="90"/>
        <v>0</v>
      </c>
      <c r="O72" s="301">
        <f t="shared" si="91"/>
        <v>0</v>
      </c>
    </row>
    <row r="73" spans="1:15" ht="16.5" customHeight="1" thickBot="1" x14ac:dyDescent="0.3">
      <c r="A73" s="319"/>
      <c r="B73" s="333"/>
      <c r="C73" s="334"/>
      <c r="D73" s="334"/>
      <c r="E73" s="335"/>
      <c r="F73" s="359"/>
      <c r="G73" s="360"/>
      <c r="H73" s="360"/>
      <c r="I73" s="361"/>
      <c r="J73" s="339">
        <f t="shared" si="86"/>
        <v>0</v>
      </c>
      <c r="K73" s="301">
        <f t="shared" si="87"/>
        <v>0</v>
      </c>
      <c r="L73" s="301">
        <f t="shared" si="88"/>
        <v>0</v>
      </c>
      <c r="M73" s="301">
        <f t="shared" si="89"/>
        <v>0</v>
      </c>
      <c r="N73" s="301">
        <f t="shared" si="90"/>
        <v>0</v>
      </c>
      <c r="O73" s="301">
        <f t="shared" si="91"/>
        <v>0</v>
      </c>
    </row>
    <row r="74" spans="1:15" ht="9" customHeight="1" x14ac:dyDescent="0.25">
      <c r="A74" s="22"/>
      <c r="B74" s="23"/>
      <c r="C74" s="24"/>
      <c r="D74" s="24"/>
      <c r="E74" s="24"/>
      <c r="F74" s="362"/>
      <c r="G74" s="24"/>
      <c r="H74" s="24"/>
      <c r="I74" s="24"/>
      <c r="J74" s="25"/>
      <c r="K74" s="25"/>
      <c r="L74" s="25"/>
      <c r="M74" s="25"/>
      <c r="N74" s="25"/>
      <c r="O74" s="25"/>
    </row>
    <row r="75" spans="1:15" ht="16.5" customHeight="1" x14ac:dyDescent="0.25">
      <c r="B75" s="23"/>
      <c r="C75" s="119"/>
      <c r="E75" s="300"/>
      <c r="F75" s="362"/>
      <c r="G75" s="363"/>
      <c r="I75" s="124" t="s">
        <v>231</v>
      </c>
      <c r="J75" s="303">
        <f t="shared" ref="J75:O75" si="92">SUM(J6:J73)</f>
        <v>0</v>
      </c>
      <c r="K75" s="303">
        <f t="shared" si="92"/>
        <v>0</v>
      </c>
      <c r="L75" s="303">
        <f t="shared" si="92"/>
        <v>0</v>
      </c>
      <c r="M75" s="303">
        <f t="shared" si="92"/>
        <v>0</v>
      </c>
      <c r="N75" s="303">
        <f t="shared" si="92"/>
        <v>0</v>
      </c>
      <c r="O75" s="303">
        <f t="shared" si="92"/>
        <v>0</v>
      </c>
    </row>
    <row r="76" spans="1:15" ht="16.5" customHeight="1" x14ac:dyDescent="0.25">
      <c r="A76" s="19"/>
      <c r="B76" s="26"/>
      <c r="C76" s="120"/>
      <c r="D76" s="120"/>
      <c r="E76" s="120"/>
      <c r="F76" s="26"/>
      <c r="G76" s="120"/>
      <c r="H76" s="120"/>
      <c r="I76" s="120"/>
      <c r="J76" s="302"/>
      <c r="K76" s="302"/>
      <c r="L76" s="302"/>
      <c r="M76" s="25"/>
      <c r="N76" s="25"/>
      <c r="O76" s="25"/>
    </row>
    <row r="77" spans="1:15" ht="16.5" customHeight="1" x14ac:dyDescent="0.25">
      <c r="A77" s="722" t="str">
        <f>'P24'!B83</f>
        <v>Verze 4 (18. 9. 2025, www.carc.cz), kontakty: Ing. Jan Klír, CSc. (603 520 684; jan.klir@carc.cz), Ing. Lada Kozlovská (733 375 632; lada.kozlovska@carc.cz)</v>
      </c>
      <c r="B77" s="722"/>
      <c r="C77" s="722"/>
      <c r="D77" s="722"/>
      <c r="E77" s="722"/>
      <c r="F77" s="722"/>
      <c r="G77" s="722"/>
      <c r="H77" s="722"/>
      <c r="I77" s="722"/>
      <c r="J77" s="722"/>
      <c r="K77" s="722"/>
      <c r="L77" s="722"/>
      <c r="M77" s="11"/>
    </row>
    <row r="78" spans="1:15" ht="16.5" customHeight="1" x14ac:dyDescent="0.25">
      <c r="A78" s="19"/>
      <c r="B78" s="26"/>
      <c r="C78" s="121"/>
      <c r="D78" s="121"/>
      <c r="E78" s="121"/>
      <c r="F78" s="26"/>
      <c r="G78" s="121"/>
      <c r="H78" s="121"/>
      <c r="I78" s="121"/>
      <c r="J78" s="25"/>
      <c r="K78" s="25"/>
      <c r="L78" s="25"/>
      <c r="M78" s="25"/>
      <c r="N78" s="25"/>
      <c r="O78" s="25"/>
    </row>
    <row r="79" spans="1:15" ht="24" customHeight="1" x14ac:dyDescent="0.25">
      <c r="A79" s="19"/>
      <c r="B79" s="26"/>
      <c r="C79" s="781"/>
      <c r="D79" s="781"/>
      <c r="E79" s="781"/>
      <c r="F79" s="26"/>
      <c r="G79" s="793"/>
      <c r="H79" s="793"/>
      <c r="I79" s="793"/>
      <c r="J79" s="25"/>
      <c r="K79" s="25"/>
      <c r="L79" s="25"/>
      <c r="M79" s="25"/>
      <c r="N79" s="25"/>
      <c r="O79" s="25"/>
    </row>
    <row r="80" spans="1:15" ht="16.5" customHeight="1" x14ac:dyDescent="0.25">
      <c r="A80" s="19"/>
      <c r="B80" s="26"/>
      <c r="C80" s="119"/>
      <c r="D80" s="119"/>
      <c r="E80" s="119"/>
      <c r="F80" s="26"/>
      <c r="G80" s="363"/>
      <c r="H80" s="363"/>
      <c r="I80" s="363"/>
      <c r="J80" s="25"/>
      <c r="K80" s="25"/>
      <c r="L80" s="25"/>
      <c r="M80" s="25"/>
      <c r="N80" s="25"/>
      <c r="O80" s="25"/>
    </row>
    <row r="81" spans="1:15" ht="16.5" customHeight="1" x14ac:dyDescent="0.25">
      <c r="A81" s="19"/>
      <c r="B81" s="26"/>
      <c r="C81" s="122"/>
      <c r="D81" s="122"/>
      <c r="E81" s="122"/>
      <c r="F81" s="26"/>
      <c r="G81" s="122"/>
      <c r="H81" s="122"/>
      <c r="I81" s="122"/>
      <c r="J81" s="25"/>
      <c r="K81" s="25"/>
      <c r="L81" s="25"/>
      <c r="M81" s="25"/>
      <c r="N81" s="25"/>
      <c r="O81" s="25"/>
    </row>
    <row r="82" spans="1:15" ht="16.5" customHeight="1" x14ac:dyDescent="0.25">
      <c r="A82" s="19"/>
      <c r="B82" s="26"/>
      <c r="C82" s="122"/>
      <c r="D82" s="122"/>
      <c r="E82" s="122"/>
      <c r="F82" s="26"/>
      <c r="G82" s="122"/>
      <c r="H82" s="122"/>
      <c r="I82" s="122"/>
      <c r="J82" s="25"/>
      <c r="K82" s="25"/>
      <c r="L82" s="25"/>
      <c r="M82" s="25"/>
      <c r="N82" s="25"/>
      <c r="O82" s="25"/>
    </row>
    <row r="83" spans="1:15" ht="16.5" customHeight="1" x14ac:dyDescent="0.25">
      <c r="A83" s="19"/>
      <c r="B83" s="26"/>
      <c r="C83" s="123"/>
      <c r="D83" s="123"/>
      <c r="E83" s="123"/>
      <c r="F83" s="26"/>
      <c r="G83" s="123"/>
      <c r="H83" s="123"/>
      <c r="I83" s="123"/>
      <c r="J83" s="25"/>
      <c r="K83" s="25"/>
      <c r="L83" s="25"/>
      <c r="M83" s="25"/>
      <c r="N83" s="25"/>
      <c r="O83" s="25"/>
    </row>
    <row r="84" spans="1:15" ht="16.5" customHeight="1" x14ac:dyDescent="0.25">
      <c r="A84" s="19"/>
      <c r="B84" s="26"/>
      <c r="C84" s="24"/>
      <c r="D84" s="24"/>
      <c r="E84" s="24"/>
      <c r="F84" s="26"/>
      <c r="G84" s="24"/>
      <c r="H84" s="24"/>
      <c r="I84" s="24"/>
      <c r="J84" s="25"/>
      <c r="K84" s="25"/>
      <c r="L84" s="25"/>
      <c r="M84" s="25"/>
      <c r="N84" s="25"/>
      <c r="O84" s="25"/>
    </row>
    <row r="85" spans="1:15" ht="16.5" customHeight="1" x14ac:dyDescent="0.25">
      <c r="A85" s="19"/>
      <c r="B85" s="26"/>
      <c r="C85" s="24"/>
      <c r="D85" s="24"/>
      <c r="E85" s="24"/>
      <c r="F85" s="26"/>
      <c r="G85" s="24"/>
      <c r="H85" s="24"/>
      <c r="I85" s="24"/>
      <c r="J85" s="25"/>
      <c r="K85" s="25"/>
      <c r="L85" s="25"/>
      <c r="M85" s="25"/>
      <c r="N85" s="25"/>
      <c r="O85" s="25"/>
    </row>
    <row r="86" spans="1:15" ht="16.5" customHeight="1" x14ac:dyDescent="0.25">
      <c r="A86" s="19"/>
      <c r="B86" s="26"/>
      <c r="C86" s="24"/>
      <c r="D86" s="24"/>
      <c r="E86" s="24"/>
      <c r="F86" s="26"/>
      <c r="G86" s="24"/>
      <c r="H86" s="24"/>
      <c r="I86" s="24"/>
      <c r="J86" s="25"/>
      <c r="K86" s="25"/>
      <c r="L86" s="25"/>
      <c r="M86" s="25"/>
      <c r="N86" s="25"/>
      <c r="O86" s="25"/>
    </row>
    <row r="87" spans="1:15" ht="15.75" x14ac:dyDescent="0.25">
      <c r="A87" s="89"/>
      <c r="B87" s="90"/>
      <c r="C87" s="91"/>
      <c r="D87" s="91"/>
      <c r="E87" s="91"/>
      <c r="F87" s="90"/>
      <c r="G87" s="91"/>
      <c r="H87" s="91"/>
      <c r="I87" s="91"/>
    </row>
    <row r="88" spans="1:15" ht="15.75" x14ac:dyDescent="0.25">
      <c r="A88" s="17"/>
      <c r="B88" s="17"/>
      <c r="C88" s="18"/>
      <c r="D88" s="18"/>
      <c r="E88" s="18"/>
      <c r="F88" s="364"/>
      <c r="G88" s="18"/>
      <c r="H88" s="18"/>
      <c r="I88" s="18"/>
    </row>
    <row r="89" spans="1:15" ht="15.75" x14ac:dyDescent="0.25">
      <c r="A89" s="18"/>
      <c r="B89" s="18"/>
      <c r="C89" s="18"/>
      <c r="D89" s="18"/>
      <c r="E89" s="18"/>
      <c r="F89" s="18"/>
      <c r="G89" s="18"/>
      <c r="H89" s="18"/>
      <c r="I89" s="18"/>
    </row>
    <row r="90" spans="1:15" ht="15" customHeight="1" x14ac:dyDescent="0.25">
      <c r="A90" s="11"/>
      <c r="B90" s="11"/>
      <c r="C90" s="11"/>
      <c r="D90" s="11"/>
      <c r="E90" s="11"/>
      <c r="F90" s="11"/>
      <c r="G90" s="11"/>
      <c r="H90" s="11"/>
      <c r="I90" s="11"/>
    </row>
    <row r="91" spans="1:15" ht="15.75" x14ac:dyDescent="0.25">
      <c r="A91" s="89"/>
      <c r="B91" s="90"/>
      <c r="C91" s="91"/>
      <c r="D91" s="91"/>
      <c r="E91" s="91"/>
      <c r="F91" s="90"/>
      <c r="G91" s="91"/>
      <c r="H91" s="91"/>
      <c r="I91" s="91"/>
    </row>
    <row r="92" spans="1:15" ht="15.75" x14ac:dyDescent="0.25">
      <c r="A92" s="17"/>
      <c r="B92" s="17"/>
      <c r="C92" s="18"/>
      <c r="D92" s="18"/>
      <c r="E92" s="18"/>
      <c r="F92" s="364"/>
      <c r="G92" s="18"/>
      <c r="H92" s="18"/>
      <c r="I92" s="18"/>
    </row>
    <row r="93" spans="1:15" ht="15.75" x14ac:dyDescent="0.25">
      <c r="A93" s="18"/>
      <c r="B93" s="18"/>
      <c r="C93" s="18"/>
      <c r="D93" s="18"/>
      <c r="E93" s="18"/>
      <c r="F93" s="18"/>
      <c r="G93" s="18"/>
      <c r="H93" s="18"/>
      <c r="I93" s="18"/>
    </row>
    <row r="94" spans="1:15" x14ac:dyDescent="0.25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</row>
    <row r="95" spans="1:15" x14ac:dyDescent="0.25">
      <c r="A95" s="11"/>
      <c r="B95" s="11"/>
      <c r="C95" s="11"/>
      <c r="D95" s="11"/>
      <c r="E95" s="11"/>
      <c r="F95" s="11"/>
      <c r="G95" s="11"/>
      <c r="H95" s="11"/>
      <c r="I95" s="11"/>
      <c r="J95" s="11"/>
      <c r="K95" s="11"/>
      <c r="L95" s="11"/>
      <c r="M95" s="11"/>
      <c r="N95" s="11"/>
      <c r="O95" s="11"/>
    </row>
    <row r="96" spans="1:15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  <c r="K96" s="11"/>
      <c r="L96" s="11"/>
      <c r="M96" s="11"/>
      <c r="N96" s="11"/>
      <c r="O96" s="11"/>
    </row>
    <row r="97" spans="1:15" x14ac:dyDescent="0.25">
      <c r="A97" s="11"/>
      <c r="B97" s="11"/>
      <c r="C97" s="11"/>
      <c r="D97" s="11"/>
      <c r="E97" s="11"/>
      <c r="F97" s="11"/>
      <c r="G97" s="11"/>
      <c r="H97" s="11"/>
      <c r="I97" s="11"/>
      <c r="J97" s="11"/>
      <c r="K97" s="11"/>
      <c r="L97" s="11"/>
      <c r="M97" s="11"/>
      <c r="N97" s="11"/>
      <c r="O97" s="11"/>
    </row>
    <row r="98" spans="1:15" x14ac:dyDescent="0.25">
      <c r="A98" s="11"/>
      <c r="B98" s="11"/>
      <c r="C98" s="11"/>
      <c r="D98" s="11"/>
      <c r="E98" s="11"/>
      <c r="F98" s="11"/>
      <c r="G98" s="11"/>
      <c r="H98" s="11"/>
      <c r="I98" s="11"/>
      <c r="J98" s="11"/>
      <c r="K98" s="11"/>
      <c r="L98" s="11"/>
      <c r="M98" s="11"/>
      <c r="N98" s="11"/>
      <c r="O98" s="11"/>
    </row>
    <row r="99" spans="1:15" x14ac:dyDescent="0.25">
      <c r="A99" s="11"/>
      <c r="B99" s="11"/>
      <c r="C99" s="11"/>
      <c r="D99" s="11"/>
      <c r="E99" s="11"/>
      <c r="F99" s="11"/>
      <c r="G99" s="11"/>
      <c r="H99" s="11"/>
      <c r="I99" s="11"/>
      <c r="J99" s="11"/>
      <c r="K99" s="11"/>
      <c r="L99" s="11"/>
      <c r="M99" s="11"/>
      <c r="N99" s="11"/>
      <c r="O99" s="11"/>
    </row>
    <row r="100" spans="1:15" x14ac:dyDescent="0.25">
      <c r="A100" s="11"/>
      <c r="B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  <c r="M100" s="11"/>
      <c r="N100" s="11"/>
      <c r="O100" s="11"/>
    </row>
    <row r="101" spans="1:15" x14ac:dyDescent="0.25">
      <c r="A101" s="11"/>
      <c r="B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  <c r="M101" s="11"/>
      <c r="N101" s="11"/>
      <c r="O101" s="11"/>
    </row>
  </sheetData>
  <sheetProtection algorithmName="SHA-512" hashValue="n3psO8UFxSmJoMfV7Lu1iRkMqpKMpbEojjACuuG7lDBW0pZTY7D8kBmmxXhjS1Z/a8iuNZuaZ+UsJTFSQQnRlQ==" saltValue="JuZwe7+3VZAknyuFYi9hvw==" spinCount="100000" sheet="1" formatCells="0" formatColumns="0" formatRows="0" selectLockedCells="1"/>
  <mergeCells count="14">
    <mergeCell ref="M2:O2"/>
    <mergeCell ref="B1:E1"/>
    <mergeCell ref="F1:I1"/>
    <mergeCell ref="J1:L1"/>
    <mergeCell ref="M1:O1"/>
    <mergeCell ref="C79:E79"/>
    <mergeCell ref="J2:L2"/>
    <mergeCell ref="A77:L77"/>
    <mergeCell ref="A2:A4"/>
    <mergeCell ref="C2:E2"/>
    <mergeCell ref="B2:B3"/>
    <mergeCell ref="F2:F3"/>
    <mergeCell ref="G2:I2"/>
    <mergeCell ref="G79:I79"/>
  </mergeCells>
  <pageMargins left="0.7" right="0.7" top="0.78740157499999996" bottom="0.78740157499999996" header="0.3" footer="0.3"/>
  <pageSetup paperSize="9" orientation="portrait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93A434-41A7-4438-87DC-EFD9BF1D07AD}">
  <sheetPr>
    <tabColor theme="3" tint="0.59999389629810485"/>
  </sheetPr>
  <dimension ref="A1:M21"/>
  <sheetViews>
    <sheetView showGridLines="0" showZeros="0" zoomScale="90" zoomScaleNormal="90" workbookViewId="0">
      <selection activeCell="D6" sqref="D6"/>
    </sheetView>
  </sheetViews>
  <sheetFormatPr defaultRowHeight="15" x14ac:dyDescent="0.25"/>
  <cols>
    <col min="1" max="1" width="71.5703125" customWidth="1"/>
    <col min="2" max="2" width="18.85546875" customWidth="1"/>
    <col min="3" max="3" width="32.42578125" customWidth="1"/>
    <col min="4" max="5" width="18.42578125" customWidth="1"/>
    <col min="6" max="8" width="7.140625" customWidth="1"/>
    <col min="9" max="38" width="8.7109375" customWidth="1"/>
    <col min="39" max="39" width="6.42578125" customWidth="1"/>
    <col min="40" max="45" width="9.140625" customWidth="1"/>
    <col min="250" max="250" width="71.5703125" customWidth="1"/>
    <col min="251" max="251" width="18.85546875" customWidth="1"/>
    <col min="252" max="252" width="18.42578125" customWidth="1"/>
    <col min="253" max="253" width="0" hidden="1" customWidth="1"/>
    <col min="254" max="254" width="18.42578125" customWidth="1"/>
    <col min="255" max="256" width="0" hidden="1" customWidth="1"/>
    <col min="257" max="257" width="18.5703125" customWidth="1"/>
    <col min="258" max="258" width="6.42578125" customWidth="1"/>
    <col min="259" max="259" width="9" customWidth="1"/>
    <col min="260" max="264" width="7.140625" customWidth="1"/>
    <col min="265" max="294" width="8.7109375" customWidth="1"/>
    <col min="295" max="295" width="6.42578125" customWidth="1"/>
    <col min="506" max="506" width="71.5703125" customWidth="1"/>
    <col min="507" max="507" width="18.85546875" customWidth="1"/>
    <col min="508" max="508" width="18.42578125" customWidth="1"/>
    <col min="509" max="509" width="0" hidden="1" customWidth="1"/>
    <col min="510" max="510" width="18.42578125" customWidth="1"/>
    <col min="511" max="512" width="0" hidden="1" customWidth="1"/>
    <col min="513" max="513" width="18.5703125" customWidth="1"/>
    <col min="514" max="514" width="6.42578125" customWidth="1"/>
    <col min="515" max="515" width="9" customWidth="1"/>
    <col min="516" max="520" width="7.140625" customWidth="1"/>
    <col min="521" max="550" width="8.7109375" customWidth="1"/>
    <col min="551" max="551" width="6.42578125" customWidth="1"/>
    <col min="762" max="762" width="71.5703125" customWidth="1"/>
    <col min="763" max="763" width="18.85546875" customWidth="1"/>
    <col min="764" max="764" width="18.42578125" customWidth="1"/>
    <col min="765" max="765" width="0" hidden="1" customWidth="1"/>
    <col min="766" max="766" width="18.42578125" customWidth="1"/>
    <col min="767" max="768" width="0" hidden="1" customWidth="1"/>
    <col min="769" max="769" width="18.5703125" customWidth="1"/>
    <col min="770" max="770" width="6.42578125" customWidth="1"/>
    <col min="771" max="771" width="9" customWidth="1"/>
    <col min="772" max="776" width="7.140625" customWidth="1"/>
    <col min="777" max="806" width="8.7109375" customWidth="1"/>
    <col min="807" max="807" width="6.42578125" customWidth="1"/>
    <col min="1018" max="1018" width="71.5703125" customWidth="1"/>
    <col min="1019" max="1019" width="18.85546875" customWidth="1"/>
    <col min="1020" max="1020" width="18.42578125" customWidth="1"/>
    <col min="1021" max="1021" width="0" hidden="1" customWidth="1"/>
    <col min="1022" max="1022" width="18.42578125" customWidth="1"/>
    <col min="1023" max="1024" width="0" hidden="1" customWidth="1"/>
    <col min="1025" max="1025" width="18.5703125" customWidth="1"/>
    <col min="1026" max="1026" width="6.42578125" customWidth="1"/>
    <col min="1027" max="1027" width="9" customWidth="1"/>
    <col min="1028" max="1032" width="7.140625" customWidth="1"/>
    <col min="1033" max="1062" width="8.7109375" customWidth="1"/>
    <col min="1063" max="1063" width="6.42578125" customWidth="1"/>
    <col min="1274" max="1274" width="71.5703125" customWidth="1"/>
    <col min="1275" max="1275" width="18.85546875" customWidth="1"/>
    <col min="1276" max="1276" width="18.42578125" customWidth="1"/>
    <col min="1277" max="1277" width="0" hidden="1" customWidth="1"/>
    <col min="1278" max="1278" width="18.42578125" customWidth="1"/>
    <col min="1279" max="1280" width="0" hidden="1" customWidth="1"/>
    <col min="1281" max="1281" width="18.5703125" customWidth="1"/>
    <col min="1282" max="1282" width="6.42578125" customWidth="1"/>
    <col min="1283" max="1283" width="9" customWidth="1"/>
    <col min="1284" max="1288" width="7.140625" customWidth="1"/>
    <col min="1289" max="1318" width="8.7109375" customWidth="1"/>
    <col min="1319" max="1319" width="6.42578125" customWidth="1"/>
    <col min="1530" max="1530" width="71.5703125" customWidth="1"/>
    <col min="1531" max="1531" width="18.85546875" customWidth="1"/>
    <col min="1532" max="1532" width="18.42578125" customWidth="1"/>
    <col min="1533" max="1533" width="0" hidden="1" customWidth="1"/>
    <col min="1534" max="1534" width="18.42578125" customWidth="1"/>
    <col min="1535" max="1536" width="0" hidden="1" customWidth="1"/>
    <col min="1537" max="1537" width="18.5703125" customWidth="1"/>
    <col min="1538" max="1538" width="6.42578125" customWidth="1"/>
    <col min="1539" max="1539" width="9" customWidth="1"/>
    <col min="1540" max="1544" width="7.140625" customWidth="1"/>
    <col min="1545" max="1574" width="8.7109375" customWidth="1"/>
    <col min="1575" max="1575" width="6.42578125" customWidth="1"/>
    <col min="1786" max="1786" width="71.5703125" customWidth="1"/>
    <col min="1787" max="1787" width="18.85546875" customWidth="1"/>
    <col min="1788" max="1788" width="18.42578125" customWidth="1"/>
    <col min="1789" max="1789" width="0" hidden="1" customWidth="1"/>
    <col min="1790" max="1790" width="18.42578125" customWidth="1"/>
    <col min="1791" max="1792" width="0" hidden="1" customWidth="1"/>
    <col min="1793" max="1793" width="18.5703125" customWidth="1"/>
    <col min="1794" max="1794" width="6.42578125" customWidth="1"/>
    <col min="1795" max="1795" width="9" customWidth="1"/>
    <col min="1796" max="1800" width="7.140625" customWidth="1"/>
    <col min="1801" max="1830" width="8.7109375" customWidth="1"/>
    <col min="1831" max="1831" width="6.42578125" customWidth="1"/>
    <col min="2042" max="2042" width="71.5703125" customWidth="1"/>
    <col min="2043" max="2043" width="18.85546875" customWidth="1"/>
    <col min="2044" max="2044" width="18.42578125" customWidth="1"/>
    <col min="2045" max="2045" width="0" hidden="1" customWidth="1"/>
    <col min="2046" max="2046" width="18.42578125" customWidth="1"/>
    <col min="2047" max="2048" width="0" hidden="1" customWidth="1"/>
    <col min="2049" max="2049" width="18.5703125" customWidth="1"/>
    <col min="2050" max="2050" width="6.42578125" customWidth="1"/>
    <col min="2051" max="2051" width="9" customWidth="1"/>
    <col min="2052" max="2056" width="7.140625" customWidth="1"/>
    <col min="2057" max="2086" width="8.7109375" customWidth="1"/>
    <col min="2087" max="2087" width="6.42578125" customWidth="1"/>
    <col min="2298" max="2298" width="71.5703125" customWidth="1"/>
    <col min="2299" max="2299" width="18.85546875" customWidth="1"/>
    <col min="2300" max="2300" width="18.42578125" customWidth="1"/>
    <col min="2301" max="2301" width="0" hidden="1" customWidth="1"/>
    <col min="2302" max="2302" width="18.42578125" customWidth="1"/>
    <col min="2303" max="2304" width="0" hidden="1" customWidth="1"/>
    <col min="2305" max="2305" width="18.5703125" customWidth="1"/>
    <col min="2306" max="2306" width="6.42578125" customWidth="1"/>
    <col min="2307" max="2307" width="9" customWidth="1"/>
    <col min="2308" max="2312" width="7.140625" customWidth="1"/>
    <col min="2313" max="2342" width="8.7109375" customWidth="1"/>
    <col min="2343" max="2343" width="6.42578125" customWidth="1"/>
    <col min="2554" max="2554" width="71.5703125" customWidth="1"/>
    <col min="2555" max="2555" width="18.85546875" customWidth="1"/>
    <col min="2556" max="2556" width="18.42578125" customWidth="1"/>
    <col min="2557" max="2557" width="0" hidden="1" customWidth="1"/>
    <col min="2558" max="2558" width="18.42578125" customWidth="1"/>
    <col min="2559" max="2560" width="0" hidden="1" customWidth="1"/>
    <col min="2561" max="2561" width="18.5703125" customWidth="1"/>
    <col min="2562" max="2562" width="6.42578125" customWidth="1"/>
    <col min="2563" max="2563" width="9" customWidth="1"/>
    <col min="2564" max="2568" width="7.140625" customWidth="1"/>
    <col min="2569" max="2598" width="8.7109375" customWidth="1"/>
    <col min="2599" max="2599" width="6.42578125" customWidth="1"/>
    <col min="2810" max="2810" width="71.5703125" customWidth="1"/>
    <col min="2811" max="2811" width="18.85546875" customWidth="1"/>
    <col min="2812" max="2812" width="18.42578125" customWidth="1"/>
    <col min="2813" max="2813" width="0" hidden="1" customWidth="1"/>
    <col min="2814" max="2814" width="18.42578125" customWidth="1"/>
    <col min="2815" max="2816" width="0" hidden="1" customWidth="1"/>
    <col min="2817" max="2817" width="18.5703125" customWidth="1"/>
    <col min="2818" max="2818" width="6.42578125" customWidth="1"/>
    <col min="2819" max="2819" width="9" customWidth="1"/>
    <col min="2820" max="2824" width="7.140625" customWidth="1"/>
    <col min="2825" max="2854" width="8.7109375" customWidth="1"/>
    <col min="2855" max="2855" width="6.42578125" customWidth="1"/>
    <col min="3066" max="3066" width="71.5703125" customWidth="1"/>
    <col min="3067" max="3067" width="18.85546875" customWidth="1"/>
    <col min="3068" max="3068" width="18.42578125" customWidth="1"/>
    <col min="3069" max="3069" width="0" hidden="1" customWidth="1"/>
    <col min="3070" max="3070" width="18.42578125" customWidth="1"/>
    <col min="3071" max="3072" width="0" hidden="1" customWidth="1"/>
    <col min="3073" max="3073" width="18.5703125" customWidth="1"/>
    <col min="3074" max="3074" width="6.42578125" customWidth="1"/>
    <col min="3075" max="3075" width="9" customWidth="1"/>
    <col min="3076" max="3080" width="7.140625" customWidth="1"/>
    <col min="3081" max="3110" width="8.7109375" customWidth="1"/>
    <col min="3111" max="3111" width="6.42578125" customWidth="1"/>
    <col min="3322" max="3322" width="71.5703125" customWidth="1"/>
    <col min="3323" max="3323" width="18.85546875" customWidth="1"/>
    <col min="3324" max="3324" width="18.42578125" customWidth="1"/>
    <col min="3325" max="3325" width="0" hidden="1" customWidth="1"/>
    <col min="3326" max="3326" width="18.42578125" customWidth="1"/>
    <col min="3327" max="3328" width="0" hidden="1" customWidth="1"/>
    <col min="3329" max="3329" width="18.5703125" customWidth="1"/>
    <col min="3330" max="3330" width="6.42578125" customWidth="1"/>
    <col min="3331" max="3331" width="9" customWidth="1"/>
    <col min="3332" max="3336" width="7.140625" customWidth="1"/>
    <col min="3337" max="3366" width="8.7109375" customWidth="1"/>
    <col min="3367" max="3367" width="6.42578125" customWidth="1"/>
    <col min="3578" max="3578" width="71.5703125" customWidth="1"/>
    <col min="3579" max="3579" width="18.85546875" customWidth="1"/>
    <col min="3580" max="3580" width="18.42578125" customWidth="1"/>
    <col min="3581" max="3581" width="0" hidden="1" customWidth="1"/>
    <col min="3582" max="3582" width="18.42578125" customWidth="1"/>
    <col min="3583" max="3584" width="0" hidden="1" customWidth="1"/>
    <col min="3585" max="3585" width="18.5703125" customWidth="1"/>
    <col min="3586" max="3586" width="6.42578125" customWidth="1"/>
    <col min="3587" max="3587" width="9" customWidth="1"/>
    <col min="3588" max="3592" width="7.140625" customWidth="1"/>
    <col min="3593" max="3622" width="8.7109375" customWidth="1"/>
    <col min="3623" max="3623" width="6.42578125" customWidth="1"/>
    <col min="3834" max="3834" width="71.5703125" customWidth="1"/>
    <col min="3835" max="3835" width="18.85546875" customWidth="1"/>
    <col min="3836" max="3836" width="18.42578125" customWidth="1"/>
    <col min="3837" max="3837" width="0" hidden="1" customWidth="1"/>
    <col min="3838" max="3838" width="18.42578125" customWidth="1"/>
    <col min="3839" max="3840" width="0" hidden="1" customWidth="1"/>
    <col min="3841" max="3841" width="18.5703125" customWidth="1"/>
    <col min="3842" max="3842" width="6.42578125" customWidth="1"/>
    <col min="3843" max="3843" width="9" customWidth="1"/>
    <col min="3844" max="3848" width="7.140625" customWidth="1"/>
    <col min="3849" max="3878" width="8.7109375" customWidth="1"/>
    <col min="3879" max="3879" width="6.42578125" customWidth="1"/>
    <col min="4090" max="4090" width="71.5703125" customWidth="1"/>
    <col min="4091" max="4091" width="18.85546875" customWidth="1"/>
    <col min="4092" max="4092" width="18.42578125" customWidth="1"/>
    <col min="4093" max="4093" width="0" hidden="1" customWidth="1"/>
    <col min="4094" max="4094" width="18.42578125" customWidth="1"/>
    <col min="4095" max="4096" width="0" hidden="1" customWidth="1"/>
    <col min="4097" max="4097" width="18.5703125" customWidth="1"/>
    <col min="4098" max="4098" width="6.42578125" customWidth="1"/>
    <col min="4099" max="4099" width="9" customWidth="1"/>
    <col min="4100" max="4104" width="7.140625" customWidth="1"/>
    <col min="4105" max="4134" width="8.7109375" customWidth="1"/>
    <col min="4135" max="4135" width="6.42578125" customWidth="1"/>
    <col min="4346" max="4346" width="71.5703125" customWidth="1"/>
    <col min="4347" max="4347" width="18.85546875" customWidth="1"/>
    <col min="4348" max="4348" width="18.42578125" customWidth="1"/>
    <col min="4349" max="4349" width="0" hidden="1" customWidth="1"/>
    <col min="4350" max="4350" width="18.42578125" customWidth="1"/>
    <col min="4351" max="4352" width="0" hidden="1" customWidth="1"/>
    <col min="4353" max="4353" width="18.5703125" customWidth="1"/>
    <col min="4354" max="4354" width="6.42578125" customWidth="1"/>
    <col min="4355" max="4355" width="9" customWidth="1"/>
    <col min="4356" max="4360" width="7.140625" customWidth="1"/>
    <col min="4361" max="4390" width="8.7109375" customWidth="1"/>
    <col min="4391" max="4391" width="6.42578125" customWidth="1"/>
    <col min="4602" max="4602" width="71.5703125" customWidth="1"/>
    <col min="4603" max="4603" width="18.85546875" customWidth="1"/>
    <col min="4604" max="4604" width="18.42578125" customWidth="1"/>
    <col min="4605" max="4605" width="0" hidden="1" customWidth="1"/>
    <col min="4606" max="4606" width="18.42578125" customWidth="1"/>
    <col min="4607" max="4608" width="0" hidden="1" customWidth="1"/>
    <col min="4609" max="4609" width="18.5703125" customWidth="1"/>
    <col min="4610" max="4610" width="6.42578125" customWidth="1"/>
    <col min="4611" max="4611" width="9" customWidth="1"/>
    <col min="4612" max="4616" width="7.140625" customWidth="1"/>
    <col min="4617" max="4646" width="8.7109375" customWidth="1"/>
    <col min="4647" max="4647" width="6.42578125" customWidth="1"/>
    <col min="4858" max="4858" width="71.5703125" customWidth="1"/>
    <col min="4859" max="4859" width="18.85546875" customWidth="1"/>
    <col min="4860" max="4860" width="18.42578125" customWidth="1"/>
    <col min="4861" max="4861" width="0" hidden="1" customWidth="1"/>
    <col min="4862" max="4862" width="18.42578125" customWidth="1"/>
    <col min="4863" max="4864" width="0" hidden="1" customWidth="1"/>
    <col min="4865" max="4865" width="18.5703125" customWidth="1"/>
    <col min="4866" max="4866" width="6.42578125" customWidth="1"/>
    <col min="4867" max="4867" width="9" customWidth="1"/>
    <col min="4868" max="4872" width="7.140625" customWidth="1"/>
    <col min="4873" max="4902" width="8.7109375" customWidth="1"/>
    <col min="4903" max="4903" width="6.42578125" customWidth="1"/>
    <col min="5114" max="5114" width="71.5703125" customWidth="1"/>
    <col min="5115" max="5115" width="18.85546875" customWidth="1"/>
    <col min="5116" max="5116" width="18.42578125" customWidth="1"/>
    <col min="5117" max="5117" width="0" hidden="1" customWidth="1"/>
    <col min="5118" max="5118" width="18.42578125" customWidth="1"/>
    <col min="5119" max="5120" width="0" hidden="1" customWidth="1"/>
    <col min="5121" max="5121" width="18.5703125" customWidth="1"/>
    <col min="5122" max="5122" width="6.42578125" customWidth="1"/>
    <col min="5123" max="5123" width="9" customWidth="1"/>
    <col min="5124" max="5128" width="7.140625" customWidth="1"/>
    <col min="5129" max="5158" width="8.7109375" customWidth="1"/>
    <col min="5159" max="5159" width="6.42578125" customWidth="1"/>
    <col min="5370" max="5370" width="71.5703125" customWidth="1"/>
    <col min="5371" max="5371" width="18.85546875" customWidth="1"/>
    <col min="5372" max="5372" width="18.42578125" customWidth="1"/>
    <col min="5373" max="5373" width="0" hidden="1" customWidth="1"/>
    <col min="5374" max="5374" width="18.42578125" customWidth="1"/>
    <col min="5375" max="5376" width="0" hidden="1" customWidth="1"/>
    <col min="5377" max="5377" width="18.5703125" customWidth="1"/>
    <col min="5378" max="5378" width="6.42578125" customWidth="1"/>
    <col min="5379" max="5379" width="9" customWidth="1"/>
    <col min="5380" max="5384" width="7.140625" customWidth="1"/>
    <col min="5385" max="5414" width="8.7109375" customWidth="1"/>
    <col min="5415" max="5415" width="6.42578125" customWidth="1"/>
    <col min="5626" max="5626" width="71.5703125" customWidth="1"/>
    <col min="5627" max="5627" width="18.85546875" customWidth="1"/>
    <col min="5628" max="5628" width="18.42578125" customWidth="1"/>
    <col min="5629" max="5629" width="0" hidden="1" customWidth="1"/>
    <col min="5630" max="5630" width="18.42578125" customWidth="1"/>
    <col min="5631" max="5632" width="0" hidden="1" customWidth="1"/>
    <col min="5633" max="5633" width="18.5703125" customWidth="1"/>
    <col min="5634" max="5634" width="6.42578125" customWidth="1"/>
    <col min="5635" max="5635" width="9" customWidth="1"/>
    <col min="5636" max="5640" width="7.140625" customWidth="1"/>
    <col min="5641" max="5670" width="8.7109375" customWidth="1"/>
    <col min="5671" max="5671" width="6.42578125" customWidth="1"/>
    <col min="5882" max="5882" width="71.5703125" customWidth="1"/>
    <col min="5883" max="5883" width="18.85546875" customWidth="1"/>
    <col min="5884" max="5884" width="18.42578125" customWidth="1"/>
    <col min="5885" max="5885" width="0" hidden="1" customWidth="1"/>
    <col min="5886" max="5886" width="18.42578125" customWidth="1"/>
    <col min="5887" max="5888" width="0" hidden="1" customWidth="1"/>
    <col min="5889" max="5889" width="18.5703125" customWidth="1"/>
    <col min="5890" max="5890" width="6.42578125" customWidth="1"/>
    <col min="5891" max="5891" width="9" customWidth="1"/>
    <col min="5892" max="5896" width="7.140625" customWidth="1"/>
    <col min="5897" max="5926" width="8.7109375" customWidth="1"/>
    <col min="5927" max="5927" width="6.42578125" customWidth="1"/>
    <col min="6138" max="6138" width="71.5703125" customWidth="1"/>
    <col min="6139" max="6139" width="18.85546875" customWidth="1"/>
    <col min="6140" max="6140" width="18.42578125" customWidth="1"/>
    <col min="6141" max="6141" width="0" hidden="1" customWidth="1"/>
    <col min="6142" max="6142" width="18.42578125" customWidth="1"/>
    <col min="6143" max="6144" width="0" hidden="1" customWidth="1"/>
    <col min="6145" max="6145" width="18.5703125" customWidth="1"/>
    <col min="6146" max="6146" width="6.42578125" customWidth="1"/>
    <col min="6147" max="6147" width="9" customWidth="1"/>
    <col min="6148" max="6152" width="7.140625" customWidth="1"/>
    <col min="6153" max="6182" width="8.7109375" customWidth="1"/>
    <col min="6183" max="6183" width="6.42578125" customWidth="1"/>
    <col min="6394" max="6394" width="71.5703125" customWidth="1"/>
    <col min="6395" max="6395" width="18.85546875" customWidth="1"/>
    <col min="6396" max="6396" width="18.42578125" customWidth="1"/>
    <col min="6397" max="6397" width="0" hidden="1" customWidth="1"/>
    <col min="6398" max="6398" width="18.42578125" customWidth="1"/>
    <col min="6399" max="6400" width="0" hidden="1" customWidth="1"/>
    <col min="6401" max="6401" width="18.5703125" customWidth="1"/>
    <col min="6402" max="6402" width="6.42578125" customWidth="1"/>
    <col min="6403" max="6403" width="9" customWidth="1"/>
    <col min="6404" max="6408" width="7.140625" customWidth="1"/>
    <col min="6409" max="6438" width="8.7109375" customWidth="1"/>
    <col min="6439" max="6439" width="6.42578125" customWidth="1"/>
    <col min="6650" max="6650" width="71.5703125" customWidth="1"/>
    <col min="6651" max="6651" width="18.85546875" customWidth="1"/>
    <col min="6652" max="6652" width="18.42578125" customWidth="1"/>
    <col min="6653" max="6653" width="0" hidden="1" customWidth="1"/>
    <col min="6654" max="6654" width="18.42578125" customWidth="1"/>
    <col min="6655" max="6656" width="0" hidden="1" customWidth="1"/>
    <col min="6657" max="6657" width="18.5703125" customWidth="1"/>
    <col min="6658" max="6658" width="6.42578125" customWidth="1"/>
    <col min="6659" max="6659" width="9" customWidth="1"/>
    <col min="6660" max="6664" width="7.140625" customWidth="1"/>
    <col min="6665" max="6694" width="8.7109375" customWidth="1"/>
    <col min="6695" max="6695" width="6.42578125" customWidth="1"/>
    <col min="6906" max="6906" width="71.5703125" customWidth="1"/>
    <col min="6907" max="6907" width="18.85546875" customWidth="1"/>
    <col min="6908" max="6908" width="18.42578125" customWidth="1"/>
    <col min="6909" max="6909" width="0" hidden="1" customWidth="1"/>
    <col min="6910" max="6910" width="18.42578125" customWidth="1"/>
    <col min="6911" max="6912" width="0" hidden="1" customWidth="1"/>
    <col min="6913" max="6913" width="18.5703125" customWidth="1"/>
    <col min="6914" max="6914" width="6.42578125" customWidth="1"/>
    <col min="6915" max="6915" width="9" customWidth="1"/>
    <col min="6916" max="6920" width="7.140625" customWidth="1"/>
    <col min="6921" max="6950" width="8.7109375" customWidth="1"/>
    <col min="6951" max="6951" width="6.42578125" customWidth="1"/>
    <col min="7162" max="7162" width="71.5703125" customWidth="1"/>
    <col min="7163" max="7163" width="18.85546875" customWidth="1"/>
    <col min="7164" max="7164" width="18.42578125" customWidth="1"/>
    <col min="7165" max="7165" width="0" hidden="1" customWidth="1"/>
    <col min="7166" max="7166" width="18.42578125" customWidth="1"/>
    <col min="7167" max="7168" width="0" hidden="1" customWidth="1"/>
    <col min="7169" max="7169" width="18.5703125" customWidth="1"/>
    <col min="7170" max="7170" width="6.42578125" customWidth="1"/>
    <col min="7171" max="7171" width="9" customWidth="1"/>
    <col min="7172" max="7176" width="7.140625" customWidth="1"/>
    <col min="7177" max="7206" width="8.7109375" customWidth="1"/>
    <col min="7207" max="7207" width="6.42578125" customWidth="1"/>
    <col min="7418" max="7418" width="71.5703125" customWidth="1"/>
    <col min="7419" max="7419" width="18.85546875" customWidth="1"/>
    <col min="7420" max="7420" width="18.42578125" customWidth="1"/>
    <col min="7421" max="7421" width="0" hidden="1" customWidth="1"/>
    <col min="7422" max="7422" width="18.42578125" customWidth="1"/>
    <col min="7423" max="7424" width="0" hidden="1" customWidth="1"/>
    <col min="7425" max="7425" width="18.5703125" customWidth="1"/>
    <col min="7426" max="7426" width="6.42578125" customWidth="1"/>
    <col min="7427" max="7427" width="9" customWidth="1"/>
    <col min="7428" max="7432" width="7.140625" customWidth="1"/>
    <col min="7433" max="7462" width="8.7109375" customWidth="1"/>
    <col min="7463" max="7463" width="6.42578125" customWidth="1"/>
    <col min="7674" max="7674" width="71.5703125" customWidth="1"/>
    <col min="7675" max="7675" width="18.85546875" customWidth="1"/>
    <col min="7676" max="7676" width="18.42578125" customWidth="1"/>
    <col min="7677" max="7677" width="0" hidden="1" customWidth="1"/>
    <col min="7678" max="7678" width="18.42578125" customWidth="1"/>
    <col min="7679" max="7680" width="0" hidden="1" customWidth="1"/>
    <col min="7681" max="7681" width="18.5703125" customWidth="1"/>
    <col min="7682" max="7682" width="6.42578125" customWidth="1"/>
    <col min="7683" max="7683" width="9" customWidth="1"/>
    <col min="7684" max="7688" width="7.140625" customWidth="1"/>
    <col min="7689" max="7718" width="8.7109375" customWidth="1"/>
    <col min="7719" max="7719" width="6.42578125" customWidth="1"/>
    <col min="7930" max="7930" width="71.5703125" customWidth="1"/>
    <col min="7931" max="7931" width="18.85546875" customWidth="1"/>
    <col min="7932" max="7932" width="18.42578125" customWidth="1"/>
    <col min="7933" max="7933" width="0" hidden="1" customWidth="1"/>
    <col min="7934" max="7934" width="18.42578125" customWidth="1"/>
    <col min="7935" max="7936" width="0" hidden="1" customWidth="1"/>
    <col min="7937" max="7937" width="18.5703125" customWidth="1"/>
    <col min="7938" max="7938" width="6.42578125" customWidth="1"/>
    <col min="7939" max="7939" width="9" customWidth="1"/>
    <col min="7940" max="7944" width="7.140625" customWidth="1"/>
    <col min="7945" max="7974" width="8.7109375" customWidth="1"/>
    <col min="7975" max="7975" width="6.42578125" customWidth="1"/>
    <col min="8186" max="8186" width="71.5703125" customWidth="1"/>
    <col min="8187" max="8187" width="18.85546875" customWidth="1"/>
    <col min="8188" max="8188" width="18.42578125" customWidth="1"/>
    <col min="8189" max="8189" width="0" hidden="1" customWidth="1"/>
    <col min="8190" max="8190" width="18.42578125" customWidth="1"/>
    <col min="8191" max="8192" width="0" hidden="1" customWidth="1"/>
    <col min="8193" max="8193" width="18.5703125" customWidth="1"/>
    <col min="8194" max="8194" width="6.42578125" customWidth="1"/>
    <col min="8195" max="8195" width="9" customWidth="1"/>
    <col min="8196" max="8200" width="7.140625" customWidth="1"/>
    <col min="8201" max="8230" width="8.7109375" customWidth="1"/>
    <col min="8231" max="8231" width="6.42578125" customWidth="1"/>
    <col min="8442" max="8442" width="71.5703125" customWidth="1"/>
    <col min="8443" max="8443" width="18.85546875" customWidth="1"/>
    <col min="8444" max="8444" width="18.42578125" customWidth="1"/>
    <col min="8445" max="8445" width="0" hidden="1" customWidth="1"/>
    <col min="8446" max="8446" width="18.42578125" customWidth="1"/>
    <col min="8447" max="8448" width="0" hidden="1" customWidth="1"/>
    <col min="8449" max="8449" width="18.5703125" customWidth="1"/>
    <col min="8450" max="8450" width="6.42578125" customWidth="1"/>
    <col min="8451" max="8451" width="9" customWidth="1"/>
    <col min="8452" max="8456" width="7.140625" customWidth="1"/>
    <col min="8457" max="8486" width="8.7109375" customWidth="1"/>
    <col min="8487" max="8487" width="6.42578125" customWidth="1"/>
    <col min="8698" max="8698" width="71.5703125" customWidth="1"/>
    <col min="8699" max="8699" width="18.85546875" customWidth="1"/>
    <col min="8700" max="8700" width="18.42578125" customWidth="1"/>
    <col min="8701" max="8701" width="0" hidden="1" customWidth="1"/>
    <col min="8702" max="8702" width="18.42578125" customWidth="1"/>
    <col min="8703" max="8704" width="0" hidden="1" customWidth="1"/>
    <col min="8705" max="8705" width="18.5703125" customWidth="1"/>
    <col min="8706" max="8706" width="6.42578125" customWidth="1"/>
    <col min="8707" max="8707" width="9" customWidth="1"/>
    <col min="8708" max="8712" width="7.140625" customWidth="1"/>
    <col min="8713" max="8742" width="8.7109375" customWidth="1"/>
    <col min="8743" max="8743" width="6.42578125" customWidth="1"/>
    <col min="8954" max="8954" width="71.5703125" customWidth="1"/>
    <col min="8955" max="8955" width="18.85546875" customWidth="1"/>
    <col min="8956" max="8956" width="18.42578125" customWidth="1"/>
    <col min="8957" max="8957" width="0" hidden="1" customWidth="1"/>
    <col min="8958" max="8958" width="18.42578125" customWidth="1"/>
    <col min="8959" max="8960" width="0" hidden="1" customWidth="1"/>
    <col min="8961" max="8961" width="18.5703125" customWidth="1"/>
    <col min="8962" max="8962" width="6.42578125" customWidth="1"/>
    <col min="8963" max="8963" width="9" customWidth="1"/>
    <col min="8964" max="8968" width="7.140625" customWidth="1"/>
    <col min="8969" max="8998" width="8.7109375" customWidth="1"/>
    <col min="8999" max="8999" width="6.42578125" customWidth="1"/>
    <col min="9210" max="9210" width="71.5703125" customWidth="1"/>
    <col min="9211" max="9211" width="18.85546875" customWidth="1"/>
    <col min="9212" max="9212" width="18.42578125" customWidth="1"/>
    <col min="9213" max="9213" width="0" hidden="1" customWidth="1"/>
    <col min="9214" max="9214" width="18.42578125" customWidth="1"/>
    <col min="9215" max="9216" width="0" hidden="1" customWidth="1"/>
    <col min="9217" max="9217" width="18.5703125" customWidth="1"/>
    <col min="9218" max="9218" width="6.42578125" customWidth="1"/>
    <col min="9219" max="9219" width="9" customWidth="1"/>
    <col min="9220" max="9224" width="7.140625" customWidth="1"/>
    <col min="9225" max="9254" width="8.7109375" customWidth="1"/>
    <col min="9255" max="9255" width="6.42578125" customWidth="1"/>
    <col min="9466" max="9466" width="71.5703125" customWidth="1"/>
    <col min="9467" max="9467" width="18.85546875" customWidth="1"/>
    <col min="9468" max="9468" width="18.42578125" customWidth="1"/>
    <col min="9469" max="9469" width="0" hidden="1" customWidth="1"/>
    <col min="9470" max="9470" width="18.42578125" customWidth="1"/>
    <col min="9471" max="9472" width="0" hidden="1" customWidth="1"/>
    <col min="9473" max="9473" width="18.5703125" customWidth="1"/>
    <col min="9474" max="9474" width="6.42578125" customWidth="1"/>
    <col min="9475" max="9475" width="9" customWidth="1"/>
    <col min="9476" max="9480" width="7.140625" customWidth="1"/>
    <col min="9481" max="9510" width="8.7109375" customWidth="1"/>
    <col min="9511" max="9511" width="6.42578125" customWidth="1"/>
    <col min="9722" max="9722" width="71.5703125" customWidth="1"/>
    <col min="9723" max="9723" width="18.85546875" customWidth="1"/>
    <col min="9724" max="9724" width="18.42578125" customWidth="1"/>
    <col min="9725" max="9725" width="0" hidden="1" customWidth="1"/>
    <col min="9726" max="9726" width="18.42578125" customWidth="1"/>
    <col min="9727" max="9728" width="0" hidden="1" customWidth="1"/>
    <col min="9729" max="9729" width="18.5703125" customWidth="1"/>
    <col min="9730" max="9730" width="6.42578125" customWidth="1"/>
    <col min="9731" max="9731" width="9" customWidth="1"/>
    <col min="9732" max="9736" width="7.140625" customWidth="1"/>
    <col min="9737" max="9766" width="8.7109375" customWidth="1"/>
    <col min="9767" max="9767" width="6.42578125" customWidth="1"/>
    <col min="9978" max="9978" width="71.5703125" customWidth="1"/>
    <col min="9979" max="9979" width="18.85546875" customWidth="1"/>
    <col min="9980" max="9980" width="18.42578125" customWidth="1"/>
    <col min="9981" max="9981" width="0" hidden="1" customWidth="1"/>
    <col min="9982" max="9982" width="18.42578125" customWidth="1"/>
    <col min="9983" max="9984" width="0" hidden="1" customWidth="1"/>
    <col min="9985" max="9985" width="18.5703125" customWidth="1"/>
    <col min="9986" max="9986" width="6.42578125" customWidth="1"/>
    <col min="9987" max="9987" width="9" customWidth="1"/>
    <col min="9988" max="9992" width="7.140625" customWidth="1"/>
    <col min="9993" max="10022" width="8.7109375" customWidth="1"/>
    <col min="10023" max="10023" width="6.42578125" customWidth="1"/>
    <col min="10234" max="10234" width="71.5703125" customWidth="1"/>
    <col min="10235" max="10235" width="18.85546875" customWidth="1"/>
    <col min="10236" max="10236" width="18.42578125" customWidth="1"/>
    <col min="10237" max="10237" width="0" hidden="1" customWidth="1"/>
    <col min="10238" max="10238" width="18.42578125" customWidth="1"/>
    <col min="10239" max="10240" width="0" hidden="1" customWidth="1"/>
    <col min="10241" max="10241" width="18.5703125" customWidth="1"/>
    <col min="10242" max="10242" width="6.42578125" customWidth="1"/>
    <col min="10243" max="10243" width="9" customWidth="1"/>
    <col min="10244" max="10248" width="7.140625" customWidth="1"/>
    <col min="10249" max="10278" width="8.7109375" customWidth="1"/>
    <col min="10279" max="10279" width="6.42578125" customWidth="1"/>
    <col min="10490" max="10490" width="71.5703125" customWidth="1"/>
    <col min="10491" max="10491" width="18.85546875" customWidth="1"/>
    <col min="10492" max="10492" width="18.42578125" customWidth="1"/>
    <col min="10493" max="10493" width="0" hidden="1" customWidth="1"/>
    <col min="10494" max="10494" width="18.42578125" customWidth="1"/>
    <col min="10495" max="10496" width="0" hidden="1" customWidth="1"/>
    <col min="10497" max="10497" width="18.5703125" customWidth="1"/>
    <col min="10498" max="10498" width="6.42578125" customWidth="1"/>
    <col min="10499" max="10499" width="9" customWidth="1"/>
    <col min="10500" max="10504" width="7.140625" customWidth="1"/>
    <col min="10505" max="10534" width="8.7109375" customWidth="1"/>
    <col min="10535" max="10535" width="6.42578125" customWidth="1"/>
    <col min="10746" max="10746" width="71.5703125" customWidth="1"/>
    <col min="10747" max="10747" width="18.85546875" customWidth="1"/>
    <col min="10748" max="10748" width="18.42578125" customWidth="1"/>
    <col min="10749" max="10749" width="0" hidden="1" customWidth="1"/>
    <col min="10750" max="10750" width="18.42578125" customWidth="1"/>
    <col min="10751" max="10752" width="0" hidden="1" customWidth="1"/>
    <col min="10753" max="10753" width="18.5703125" customWidth="1"/>
    <col min="10754" max="10754" width="6.42578125" customWidth="1"/>
    <col min="10755" max="10755" width="9" customWidth="1"/>
    <col min="10756" max="10760" width="7.140625" customWidth="1"/>
    <col min="10761" max="10790" width="8.7109375" customWidth="1"/>
    <col min="10791" max="10791" width="6.42578125" customWidth="1"/>
    <col min="11002" max="11002" width="71.5703125" customWidth="1"/>
    <col min="11003" max="11003" width="18.85546875" customWidth="1"/>
    <col min="11004" max="11004" width="18.42578125" customWidth="1"/>
    <col min="11005" max="11005" width="0" hidden="1" customWidth="1"/>
    <col min="11006" max="11006" width="18.42578125" customWidth="1"/>
    <col min="11007" max="11008" width="0" hidden="1" customWidth="1"/>
    <col min="11009" max="11009" width="18.5703125" customWidth="1"/>
    <col min="11010" max="11010" width="6.42578125" customWidth="1"/>
    <col min="11011" max="11011" width="9" customWidth="1"/>
    <col min="11012" max="11016" width="7.140625" customWidth="1"/>
    <col min="11017" max="11046" width="8.7109375" customWidth="1"/>
    <col min="11047" max="11047" width="6.42578125" customWidth="1"/>
    <col min="11258" max="11258" width="71.5703125" customWidth="1"/>
    <col min="11259" max="11259" width="18.85546875" customWidth="1"/>
    <col min="11260" max="11260" width="18.42578125" customWidth="1"/>
    <col min="11261" max="11261" width="0" hidden="1" customWidth="1"/>
    <col min="11262" max="11262" width="18.42578125" customWidth="1"/>
    <col min="11263" max="11264" width="0" hidden="1" customWidth="1"/>
    <col min="11265" max="11265" width="18.5703125" customWidth="1"/>
    <col min="11266" max="11266" width="6.42578125" customWidth="1"/>
    <col min="11267" max="11267" width="9" customWidth="1"/>
    <col min="11268" max="11272" width="7.140625" customWidth="1"/>
    <col min="11273" max="11302" width="8.7109375" customWidth="1"/>
    <col min="11303" max="11303" width="6.42578125" customWidth="1"/>
    <col min="11514" max="11514" width="71.5703125" customWidth="1"/>
    <col min="11515" max="11515" width="18.85546875" customWidth="1"/>
    <col min="11516" max="11516" width="18.42578125" customWidth="1"/>
    <col min="11517" max="11517" width="0" hidden="1" customWidth="1"/>
    <col min="11518" max="11518" width="18.42578125" customWidth="1"/>
    <col min="11519" max="11520" width="0" hidden="1" customWidth="1"/>
    <col min="11521" max="11521" width="18.5703125" customWidth="1"/>
    <col min="11522" max="11522" width="6.42578125" customWidth="1"/>
    <col min="11523" max="11523" width="9" customWidth="1"/>
    <col min="11524" max="11528" width="7.140625" customWidth="1"/>
    <col min="11529" max="11558" width="8.7109375" customWidth="1"/>
    <col min="11559" max="11559" width="6.42578125" customWidth="1"/>
    <col min="11770" max="11770" width="71.5703125" customWidth="1"/>
    <col min="11771" max="11771" width="18.85546875" customWidth="1"/>
    <col min="11772" max="11772" width="18.42578125" customWidth="1"/>
    <col min="11773" max="11773" width="0" hidden="1" customWidth="1"/>
    <col min="11774" max="11774" width="18.42578125" customWidth="1"/>
    <col min="11775" max="11776" width="0" hidden="1" customWidth="1"/>
    <col min="11777" max="11777" width="18.5703125" customWidth="1"/>
    <col min="11778" max="11778" width="6.42578125" customWidth="1"/>
    <col min="11779" max="11779" width="9" customWidth="1"/>
    <col min="11780" max="11784" width="7.140625" customWidth="1"/>
    <col min="11785" max="11814" width="8.7109375" customWidth="1"/>
    <col min="11815" max="11815" width="6.42578125" customWidth="1"/>
    <col min="12026" max="12026" width="71.5703125" customWidth="1"/>
    <col min="12027" max="12027" width="18.85546875" customWidth="1"/>
    <col min="12028" max="12028" width="18.42578125" customWidth="1"/>
    <col min="12029" max="12029" width="0" hidden="1" customWidth="1"/>
    <col min="12030" max="12030" width="18.42578125" customWidth="1"/>
    <col min="12031" max="12032" width="0" hidden="1" customWidth="1"/>
    <col min="12033" max="12033" width="18.5703125" customWidth="1"/>
    <col min="12034" max="12034" width="6.42578125" customWidth="1"/>
    <col min="12035" max="12035" width="9" customWidth="1"/>
    <col min="12036" max="12040" width="7.140625" customWidth="1"/>
    <col min="12041" max="12070" width="8.7109375" customWidth="1"/>
    <col min="12071" max="12071" width="6.42578125" customWidth="1"/>
    <col min="12282" max="12282" width="71.5703125" customWidth="1"/>
    <col min="12283" max="12283" width="18.85546875" customWidth="1"/>
    <col min="12284" max="12284" width="18.42578125" customWidth="1"/>
    <col min="12285" max="12285" width="0" hidden="1" customWidth="1"/>
    <col min="12286" max="12286" width="18.42578125" customWidth="1"/>
    <col min="12287" max="12288" width="0" hidden="1" customWidth="1"/>
    <col min="12289" max="12289" width="18.5703125" customWidth="1"/>
    <col min="12290" max="12290" width="6.42578125" customWidth="1"/>
    <col min="12291" max="12291" width="9" customWidth="1"/>
    <col min="12292" max="12296" width="7.140625" customWidth="1"/>
    <col min="12297" max="12326" width="8.7109375" customWidth="1"/>
    <col min="12327" max="12327" width="6.42578125" customWidth="1"/>
    <col min="12538" max="12538" width="71.5703125" customWidth="1"/>
    <col min="12539" max="12539" width="18.85546875" customWidth="1"/>
    <col min="12540" max="12540" width="18.42578125" customWidth="1"/>
    <col min="12541" max="12541" width="0" hidden="1" customWidth="1"/>
    <col min="12542" max="12542" width="18.42578125" customWidth="1"/>
    <col min="12543" max="12544" width="0" hidden="1" customWidth="1"/>
    <col min="12545" max="12545" width="18.5703125" customWidth="1"/>
    <col min="12546" max="12546" width="6.42578125" customWidth="1"/>
    <col min="12547" max="12547" width="9" customWidth="1"/>
    <col min="12548" max="12552" width="7.140625" customWidth="1"/>
    <col min="12553" max="12582" width="8.7109375" customWidth="1"/>
    <col min="12583" max="12583" width="6.42578125" customWidth="1"/>
    <col min="12794" max="12794" width="71.5703125" customWidth="1"/>
    <col min="12795" max="12795" width="18.85546875" customWidth="1"/>
    <col min="12796" max="12796" width="18.42578125" customWidth="1"/>
    <col min="12797" max="12797" width="0" hidden="1" customWidth="1"/>
    <col min="12798" max="12798" width="18.42578125" customWidth="1"/>
    <col min="12799" max="12800" width="0" hidden="1" customWidth="1"/>
    <col min="12801" max="12801" width="18.5703125" customWidth="1"/>
    <col min="12802" max="12802" width="6.42578125" customWidth="1"/>
    <col min="12803" max="12803" width="9" customWidth="1"/>
    <col min="12804" max="12808" width="7.140625" customWidth="1"/>
    <col min="12809" max="12838" width="8.7109375" customWidth="1"/>
    <col min="12839" max="12839" width="6.42578125" customWidth="1"/>
    <col min="13050" max="13050" width="71.5703125" customWidth="1"/>
    <col min="13051" max="13051" width="18.85546875" customWidth="1"/>
    <col min="13052" max="13052" width="18.42578125" customWidth="1"/>
    <col min="13053" max="13053" width="0" hidden="1" customWidth="1"/>
    <col min="13054" max="13054" width="18.42578125" customWidth="1"/>
    <col min="13055" max="13056" width="0" hidden="1" customWidth="1"/>
    <col min="13057" max="13057" width="18.5703125" customWidth="1"/>
    <col min="13058" max="13058" width="6.42578125" customWidth="1"/>
    <col min="13059" max="13059" width="9" customWidth="1"/>
    <col min="13060" max="13064" width="7.140625" customWidth="1"/>
    <col min="13065" max="13094" width="8.7109375" customWidth="1"/>
    <col min="13095" max="13095" width="6.42578125" customWidth="1"/>
    <col min="13306" max="13306" width="71.5703125" customWidth="1"/>
    <col min="13307" max="13307" width="18.85546875" customWidth="1"/>
    <col min="13308" max="13308" width="18.42578125" customWidth="1"/>
    <col min="13309" max="13309" width="0" hidden="1" customWidth="1"/>
    <col min="13310" max="13310" width="18.42578125" customWidth="1"/>
    <col min="13311" max="13312" width="0" hidden="1" customWidth="1"/>
    <col min="13313" max="13313" width="18.5703125" customWidth="1"/>
    <col min="13314" max="13314" width="6.42578125" customWidth="1"/>
    <col min="13315" max="13315" width="9" customWidth="1"/>
    <col min="13316" max="13320" width="7.140625" customWidth="1"/>
    <col min="13321" max="13350" width="8.7109375" customWidth="1"/>
    <col min="13351" max="13351" width="6.42578125" customWidth="1"/>
    <col min="13562" max="13562" width="71.5703125" customWidth="1"/>
    <col min="13563" max="13563" width="18.85546875" customWidth="1"/>
    <col min="13564" max="13564" width="18.42578125" customWidth="1"/>
    <col min="13565" max="13565" width="0" hidden="1" customWidth="1"/>
    <col min="13566" max="13566" width="18.42578125" customWidth="1"/>
    <col min="13567" max="13568" width="0" hidden="1" customWidth="1"/>
    <col min="13569" max="13569" width="18.5703125" customWidth="1"/>
    <col min="13570" max="13570" width="6.42578125" customWidth="1"/>
    <col min="13571" max="13571" width="9" customWidth="1"/>
    <col min="13572" max="13576" width="7.140625" customWidth="1"/>
    <col min="13577" max="13606" width="8.7109375" customWidth="1"/>
    <col min="13607" max="13607" width="6.42578125" customWidth="1"/>
    <col min="13818" max="13818" width="71.5703125" customWidth="1"/>
    <col min="13819" max="13819" width="18.85546875" customWidth="1"/>
    <col min="13820" max="13820" width="18.42578125" customWidth="1"/>
    <col min="13821" max="13821" width="0" hidden="1" customWidth="1"/>
    <col min="13822" max="13822" width="18.42578125" customWidth="1"/>
    <col min="13823" max="13824" width="0" hidden="1" customWidth="1"/>
    <col min="13825" max="13825" width="18.5703125" customWidth="1"/>
    <col min="13826" max="13826" width="6.42578125" customWidth="1"/>
    <col min="13827" max="13827" width="9" customWidth="1"/>
    <col min="13828" max="13832" width="7.140625" customWidth="1"/>
    <col min="13833" max="13862" width="8.7109375" customWidth="1"/>
    <col min="13863" max="13863" width="6.42578125" customWidth="1"/>
    <col min="14074" max="14074" width="71.5703125" customWidth="1"/>
    <col min="14075" max="14075" width="18.85546875" customWidth="1"/>
    <col min="14076" max="14076" width="18.42578125" customWidth="1"/>
    <col min="14077" max="14077" width="0" hidden="1" customWidth="1"/>
    <col min="14078" max="14078" width="18.42578125" customWidth="1"/>
    <col min="14079" max="14080" width="0" hidden="1" customWidth="1"/>
    <col min="14081" max="14081" width="18.5703125" customWidth="1"/>
    <col min="14082" max="14082" width="6.42578125" customWidth="1"/>
    <col min="14083" max="14083" width="9" customWidth="1"/>
    <col min="14084" max="14088" width="7.140625" customWidth="1"/>
    <col min="14089" max="14118" width="8.7109375" customWidth="1"/>
    <col min="14119" max="14119" width="6.42578125" customWidth="1"/>
    <col min="14330" max="14330" width="71.5703125" customWidth="1"/>
    <col min="14331" max="14331" width="18.85546875" customWidth="1"/>
    <col min="14332" max="14332" width="18.42578125" customWidth="1"/>
    <col min="14333" max="14333" width="0" hidden="1" customWidth="1"/>
    <col min="14334" max="14334" width="18.42578125" customWidth="1"/>
    <col min="14335" max="14336" width="0" hidden="1" customWidth="1"/>
    <col min="14337" max="14337" width="18.5703125" customWidth="1"/>
    <col min="14338" max="14338" width="6.42578125" customWidth="1"/>
    <col min="14339" max="14339" width="9" customWidth="1"/>
    <col min="14340" max="14344" width="7.140625" customWidth="1"/>
    <col min="14345" max="14374" width="8.7109375" customWidth="1"/>
    <col min="14375" max="14375" width="6.42578125" customWidth="1"/>
    <col min="14586" max="14586" width="71.5703125" customWidth="1"/>
    <col min="14587" max="14587" width="18.85546875" customWidth="1"/>
    <col min="14588" max="14588" width="18.42578125" customWidth="1"/>
    <col min="14589" max="14589" width="0" hidden="1" customWidth="1"/>
    <col min="14590" max="14590" width="18.42578125" customWidth="1"/>
    <col min="14591" max="14592" width="0" hidden="1" customWidth="1"/>
    <col min="14593" max="14593" width="18.5703125" customWidth="1"/>
    <col min="14594" max="14594" width="6.42578125" customWidth="1"/>
    <col min="14595" max="14595" width="9" customWidth="1"/>
    <col min="14596" max="14600" width="7.140625" customWidth="1"/>
    <col min="14601" max="14630" width="8.7109375" customWidth="1"/>
    <col min="14631" max="14631" width="6.42578125" customWidth="1"/>
    <col min="14842" max="14842" width="71.5703125" customWidth="1"/>
    <col min="14843" max="14843" width="18.85546875" customWidth="1"/>
    <col min="14844" max="14844" width="18.42578125" customWidth="1"/>
    <col min="14845" max="14845" width="0" hidden="1" customWidth="1"/>
    <col min="14846" max="14846" width="18.42578125" customWidth="1"/>
    <col min="14847" max="14848" width="0" hidden="1" customWidth="1"/>
    <col min="14849" max="14849" width="18.5703125" customWidth="1"/>
    <col min="14850" max="14850" width="6.42578125" customWidth="1"/>
    <col min="14851" max="14851" width="9" customWidth="1"/>
    <col min="14852" max="14856" width="7.140625" customWidth="1"/>
    <col min="14857" max="14886" width="8.7109375" customWidth="1"/>
    <col min="14887" max="14887" width="6.42578125" customWidth="1"/>
    <col min="15098" max="15098" width="71.5703125" customWidth="1"/>
    <col min="15099" max="15099" width="18.85546875" customWidth="1"/>
    <col min="15100" max="15100" width="18.42578125" customWidth="1"/>
    <col min="15101" max="15101" width="0" hidden="1" customWidth="1"/>
    <col min="15102" max="15102" width="18.42578125" customWidth="1"/>
    <col min="15103" max="15104" width="0" hidden="1" customWidth="1"/>
    <col min="15105" max="15105" width="18.5703125" customWidth="1"/>
    <col min="15106" max="15106" width="6.42578125" customWidth="1"/>
    <col min="15107" max="15107" width="9" customWidth="1"/>
    <col min="15108" max="15112" width="7.140625" customWidth="1"/>
    <col min="15113" max="15142" width="8.7109375" customWidth="1"/>
    <col min="15143" max="15143" width="6.42578125" customWidth="1"/>
    <col min="15354" max="15354" width="71.5703125" customWidth="1"/>
    <col min="15355" max="15355" width="18.85546875" customWidth="1"/>
    <col min="15356" max="15356" width="18.42578125" customWidth="1"/>
    <col min="15357" max="15357" width="0" hidden="1" customWidth="1"/>
    <col min="15358" max="15358" width="18.42578125" customWidth="1"/>
    <col min="15359" max="15360" width="0" hidden="1" customWidth="1"/>
    <col min="15361" max="15361" width="18.5703125" customWidth="1"/>
    <col min="15362" max="15362" width="6.42578125" customWidth="1"/>
    <col min="15363" max="15363" width="9" customWidth="1"/>
    <col min="15364" max="15368" width="7.140625" customWidth="1"/>
    <col min="15369" max="15398" width="8.7109375" customWidth="1"/>
    <col min="15399" max="15399" width="6.42578125" customWidth="1"/>
    <col min="15610" max="15610" width="71.5703125" customWidth="1"/>
    <col min="15611" max="15611" width="18.85546875" customWidth="1"/>
    <col min="15612" max="15612" width="18.42578125" customWidth="1"/>
    <col min="15613" max="15613" width="0" hidden="1" customWidth="1"/>
    <col min="15614" max="15614" width="18.42578125" customWidth="1"/>
    <col min="15615" max="15616" width="0" hidden="1" customWidth="1"/>
    <col min="15617" max="15617" width="18.5703125" customWidth="1"/>
    <col min="15618" max="15618" width="6.42578125" customWidth="1"/>
    <col min="15619" max="15619" width="9" customWidth="1"/>
    <col min="15620" max="15624" width="7.140625" customWidth="1"/>
    <col min="15625" max="15654" width="8.7109375" customWidth="1"/>
    <col min="15655" max="15655" width="6.42578125" customWidth="1"/>
    <col min="15866" max="15866" width="71.5703125" customWidth="1"/>
    <col min="15867" max="15867" width="18.85546875" customWidth="1"/>
    <col min="15868" max="15868" width="18.42578125" customWidth="1"/>
    <col min="15869" max="15869" width="0" hidden="1" customWidth="1"/>
    <col min="15870" max="15870" width="18.42578125" customWidth="1"/>
    <col min="15871" max="15872" width="0" hidden="1" customWidth="1"/>
    <col min="15873" max="15873" width="18.5703125" customWidth="1"/>
    <col min="15874" max="15874" width="6.42578125" customWidth="1"/>
    <col min="15875" max="15875" width="9" customWidth="1"/>
    <col min="15876" max="15880" width="7.140625" customWidth="1"/>
    <col min="15881" max="15910" width="8.7109375" customWidth="1"/>
    <col min="15911" max="15911" width="6.42578125" customWidth="1"/>
    <col min="16122" max="16122" width="71.5703125" customWidth="1"/>
    <col min="16123" max="16123" width="18.85546875" customWidth="1"/>
    <col min="16124" max="16124" width="18.42578125" customWidth="1"/>
    <col min="16125" max="16125" width="0" hidden="1" customWidth="1"/>
    <col min="16126" max="16126" width="18.42578125" customWidth="1"/>
    <col min="16127" max="16128" width="0" hidden="1" customWidth="1"/>
    <col min="16129" max="16129" width="18.5703125" customWidth="1"/>
    <col min="16130" max="16130" width="6.42578125" customWidth="1"/>
    <col min="16131" max="16131" width="9" customWidth="1"/>
    <col min="16132" max="16136" width="7.140625" customWidth="1"/>
    <col min="16137" max="16166" width="8.7109375" customWidth="1"/>
    <col min="16167" max="16167" width="6.42578125" customWidth="1"/>
  </cols>
  <sheetData>
    <row r="1" spans="1:7" ht="33" customHeight="1" thickBot="1" x14ac:dyDescent="0.3">
      <c r="A1" s="802" t="s">
        <v>597</v>
      </c>
      <c r="B1" s="802"/>
      <c r="C1" s="802"/>
      <c r="D1" s="803"/>
      <c r="E1" s="803"/>
    </row>
    <row r="2" spans="1:7" ht="48" customHeight="1" x14ac:dyDescent="0.25">
      <c r="A2" s="197" t="s">
        <v>516</v>
      </c>
      <c r="B2" s="198"/>
      <c r="C2" s="287"/>
      <c r="D2" s="367" t="s">
        <v>513</v>
      </c>
      <c r="E2" s="371" t="s">
        <v>515</v>
      </c>
    </row>
    <row r="3" spans="1:7" ht="15" customHeight="1" x14ac:dyDescent="0.25">
      <c r="A3" s="804" t="s">
        <v>603</v>
      </c>
      <c r="B3" s="805"/>
      <c r="C3" s="806" t="s">
        <v>532</v>
      </c>
      <c r="D3" s="809" t="s">
        <v>225</v>
      </c>
      <c r="E3" s="811" t="s">
        <v>605</v>
      </c>
    </row>
    <row r="4" spans="1:7" ht="18.75" customHeight="1" x14ac:dyDescent="0.25">
      <c r="A4" s="804"/>
      <c r="B4" s="805"/>
      <c r="C4" s="807"/>
      <c r="D4" s="810"/>
      <c r="E4" s="812"/>
    </row>
    <row r="5" spans="1:7" ht="18.75" customHeight="1" x14ac:dyDescent="0.25">
      <c r="A5" s="804"/>
      <c r="B5" s="805"/>
      <c r="C5" s="808"/>
      <c r="D5" s="368" t="s">
        <v>444</v>
      </c>
      <c r="E5" s="368" t="s">
        <v>444</v>
      </c>
    </row>
    <row r="6" spans="1:7" ht="21" customHeight="1" x14ac:dyDescent="0.25">
      <c r="A6" s="804"/>
      <c r="B6" s="805"/>
      <c r="C6" s="366" t="s">
        <v>445</v>
      </c>
      <c r="D6" s="369"/>
      <c r="E6" s="369"/>
    </row>
    <row r="7" spans="1:7" ht="21" customHeight="1" x14ac:dyDescent="0.35">
      <c r="A7" s="804"/>
      <c r="B7" s="805"/>
      <c r="C7" s="366" t="s">
        <v>446</v>
      </c>
      <c r="D7" s="369"/>
      <c r="E7" s="369"/>
    </row>
    <row r="8" spans="1:7" ht="21" customHeight="1" thickBot="1" x14ac:dyDescent="0.4">
      <c r="A8" s="804"/>
      <c r="B8" s="805"/>
      <c r="C8" s="366" t="s">
        <v>447</v>
      </c>
      <c r="D8" s="370"/>
      <c r="E8" s="370"/>
    </row>
    <row r="9" spans="1:7" x14ac:dyDescent="0.25">
      <c r="A9" s="208"/>
      <c r="B9" s="1"/>
      <c r="C9" s="209"/>
    </row>
    <row r="10" spans="1:7" x14ac:dyDescent="0.25">
      <c r="A10" s="722" t="str">
        <f>'P24'!B83</f>
        <v>Verze 4 (18. 9. 2025, www.carc.cz), kontakty: Ing. Jan Klír, CSc. (603 520 684; jan.klir@carc.cz), Ing. Lada Kozlovská (733 375 632; lada.kozlovska@carc.cz)</v>
      </c>
      <c r="B10" s="722"/>
      <c r="C10" s="722"/>
      <c r="D10" s="722"/>
      <c r="E10" s="722"/>
      <c r="F10" s="722"/>
      <c r="G10" s="722"/>
    </row>
    <row r="21" spans="12:13" x14ac:dyDescent="0.25">
      <c r="L21" cm="1">
        <f t="array" ref="L21:M21">+'M24-26ev'!K17:L17</f>
        <v>0</v>
      </c>
      <c r="M21">
        <v>0</v>
      </c>
    </row>
  </sheetData>
  <sheetProtection algorithmName="SHA-512" hashValue="vboOVVMrgLBAunHd330jU3Spjm3Xje8dvKo5ogbMqf4Ap8GH19dd1/5X9O3WDaiCtGeufYh8n0e7cWdJKeFQ1Q==" saltValue="DMXrAeyZwuKmCMLNXpbv4Q==" spinCount="100000" sheet="1" formatCells="0" formatColumns="0" formatRows="0" selectLockedCells="1"/>
  <mergeCells count="6">
    <mergeCell ref="A1:E1"/>
    <mergeCell ref="A3:B8"/>
    <mergeCell ref="A10:G10"/>
    <mergeCell ref="C3:C5"/>
    <mergeCell ref="D3:D4"/>
    <mergeCell ref="E3:E4"/>
  </mergeCells>
  <pageMargins left="0.7" right="0.7" top="0.78740157499999996" bottom="0.78740157499999996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349C0A-5658-4DCF-A280-5CA29B9E3FD6}">
  <sheetPr>
    <tabColor theme="2" tint="-0.249977111117893"/>
  </sheetPr>
  <dimension ref="A1:X97"/>
  <sheetViews>
    <sheetView showGridLines="0" showZeros="0" zoomScale="90" zoomScaleNormal="9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B8" sqref="B8"/>
    </sheetView>
  </sheetViews>
  <sheetFormatPr defaultRowHeight="15" x14ac:dyDescent="0.25"/>
  <cols>
    <col min="1" max="1" width="82.7109375" customWidth="1"/>
    <col min="2" max="2" width="17.7109375" customWidth="1"/>
    <col min="3" max="3" width="10.7109375" customWidth="1"/>
    <col min="4" max="6" width="12.7109375" customWidth="1"/>
    <col min="7" max="7" width="17.7109375" customWidth="1"/>
    <col min="8" max="8" width="10.7109375" customWidth="1"/>
    <col min="9" max="11" width="12.7109375" customWidth="1"/>
    <col min="12" max="12" width="10.7109375" customWidth="1"/>
    <col min="13" max="15" width="12.42578125" customWidth="1"/>
    <col min="16" max="21" width="11" customWidth="1"/>
  </cols>
  <sheetData>
    <row r="1" spans="1:24" ht="45" customHeight="1" x14ac:dyDescent="0.25">
      <c r="A1" s="199" t="s">
        <v>514</v>
      </c>
      <c r="B1" s="320" t="s">
        <v>513</v>
      </c>
      <c r="C1" s="824" t="s">
        <v>609</v>
      </c>
      <c r="D1" s="824"/>
      <c r="E1" s="824"/>
      <c r="F1" s="825"/>
      <c r="G1" s="342" t="s">
        <v>515</v>
      </c>
      <c r="H1" s="830" t="s">
        <v>610</v>
      </c>
      <c r="I1" s="831"/>
      <c r="J1" s="831"/>
      <c r="K1" s="832"/>
      <c r="L1" s="823" t="s">
        <v>226</v>
      </c>
      <c r="M1" s="823"/>
      <c r="N1" s="823"/>
      <c r="O1" s="823"/>
      <c r="P1" s="813" t="s">
        <v>533</v>
      </c>
      <c r="Q1" s="813"/>
      <c r="R1" s="813"/>
      <c r="S1" s="813" t="s">
        <v>534</v>
      </c>
      <c r="T1" s="813"/>
      <c r="U1" s="813"/>
      <c r="V1" s="118"/>
      <c r="W1" s="118"/>
      <c r="X1" s="118"/>
    </row>
    <row r="2" spans="1:24" ht="39" customHeight="1" x14ac:dyDescent="0.25">
      <c r="A2" s="833" t="s">
        <v>602</v>
      </c>
      <c r="B2" s="840" t="s">
        <v>225</v>
      </c>
      <c r="C2" s="826" t="s">
        <v>92</v>
      </c>
      <c r="D2" s="828" t="s">
        <v>232</v>
      </c>
      <c r="E2" s="828"/>
      <c r="F2" s="829"/>
      <c r="G2" s="841" t="s">
        <v>605</v>
      </c>
      <c r="H2" s="826" t="s">
        <v>92</v>
      </c>
      <c r="I2" s="842" t="s">
        <v>611</v>
      </c>
      <c r="J2" s="842"/>
      <c r="K2" s="843"/>
      <c r="L2" s="836" t="s">
        <v>92</v>
      </c>
      <c r="M2" s="835" t="s">
        <v>232</v>
      </c>
      <c r="N2" s="835"/>
      <c r="O2" s="835"/>
      <c r="P2" s="814" t="s">
        <v>229</v>
      </c>
      <c r="Q2" s="814"/>
      <c r="R2" s="814"/>
      <c r="S2" s="814" t="s">
        <v>229</v>
      </c>
      <c r="T2" s="814"/>
      <c r="U2" s="814"/>
    </row>
    <row r="3" spans="1:24" ht="25.5" customHeight="1" x14ac:dyDescent="0.25">
      <c r="A3" s="834"/>
      <c r="B3" s="840"/>
      <c r="C3" s="827"/>
      <c r="D3" s="641" t="s">
        <v>1</v>
      </c>
      <c r="E3" s="641" t="s">
        <v>31</v>
      </c>
      <c r="F3" s="642" t="s">
        <v>32</v>
      </c>
      <c r="G3" s="841"/>
      <c r="H3" s="827"/>
      <c r="I3" s="658" t="s">
        <v>1</v>
      </c>
      <c r="J3" s="658" t="s">
        <v>606</v>
      </c>
      <c r="K3" s="659" t="s">
        <v>607</v>
      </c>
      <c r="L3" s="837"/>
      <c r="M3" s="88" t="s">
        <v>1</v>
      </c>
      <c r="N3" s="88" t="s">
        <v>31</v>
      </c>
      <c r="O3" s="88" t="s">
        <v>32</v>
      </c>
      <c r="P3" s="108" t="s">
        <v>1</v>
      </c>
      <c r="Q3" s="108" t="s">
        <v>31</v>
      </c>
      <c r="R3" s="108" t="s">
        <v>32</v>
      </c>
      <c r="S3" s="108" t="s">
        <v>1</v>
      </c>
      <c r="T3" s="108" t="s">
        <v>31</v>
      </c>
      <c r="U3" s="108" t="s">
        <v>32</v>
      </c>
    </row>
    <row r="4" spans="1:24" ht="25.5" customHeight="1" x14ac:dyDescent="0.25">
      <c r="A4" s="834"/>
      <c r="B4" s="384" t="s">
        <v>29</v>
      </c>
      <c r="C4" s="643" t="s">
        <v>9</v>
      </c>
      <c r="D4" s="820" t="s">
        <v>100</v>
      </c>
      <c r="E4" s="821"/>
      <c r="F4" s="822"/>
      <c r="G4" s="395" t="s">
        <v>29</v>
      </c>
      <c r="H4" s="660" t="s">
        <v>9</v>
      </c>
      <c r="I4" s="844" t="s">
        <v>100</v>
      </c>
      <c r="J4" s="845"/>
      <c r="K4" s="846"/>
      <c r="L4" s="388" t="s">
        <v>9</v>
      </c>
      <c r="M4" s="838" t="s">
        <v>100</v>
      </c>
      <c r="N4" s="839"/>
      <c r="O4" s="839"/>
      <c r="P4" s="109" t="s">
        <v>29</v>
      </c>
      <c r="Q4" s="109" t="s">
        <v>29</v>
      </c>
      <c r="R4" s="109" t="s">
        <v>29</v>
      </c>
      <c r="S4" s="109" t="s">
        <v>29</v>
      </c>
      <c r="T4" s="109" t="s">
        <v>29</v>
      </c>
      <c r="U4" s="109" t="s">
        <v>29</v>
      </c>
    </row>
    <row r="5" spans="1:24" ht="30" customHeight="1" x14ac:dyDescent="0.25">
      <c r="A5" s="678" t="s">
        <v>618</v>
      </c>
      <c r="B5" s="679"/>
      <c r="C5" s="818" t="s">
        <v>622</v>
      </c>
      <c r="D5" s="818"/>
      <c r="E5" s="818"/>
      <c r="F5" s="819"/>
      <c r="G5" s="680"/>
      <c r="H5" s="818" t="s">
        <v>622</v>
      </c>
      <c r="I5" s="818"/>
      <c r="J5" s="818"/>
      <c r="K5" s="819"/>
      <c r="L5" s="816" t="s">
        <v>227</v>
      </c>
      <c r="M5" s="817"/>
      <c r="N5" s="817"/>
      <c r="O5" s="817"/>
      <c r="P5" s="677"/>
      <c r="Q5" s="677"/>
      <c r="R5" s="677"/>
      <c r="S5" s="677"/>
      <c r="T5" s="677"/>
      <c r="U5" s="677"/>
    </row>
    <row r="6" spans="1:24" ht="16.5" customHeight="1" x14ac:dyDescent="0.25">
      <c r="A6" s="373" t="s">
        <v>110</v>
      </c>
      <c r="B6" s="385"/>
      <c r="C6" s="1003"/>
      <c r="D6" s="651"/>
      <c r="E6" s="651"/>
      <c r="F6" s="652"/>
      <c r="G6" s="385"/>
      <c r="H6" s="1003"/>
      <c r="I6" s="651"/>
      <c r="J6" s="651"/>
      <c r="K6" s="652"/>
      <c r="L6" s="389">
        <v>0.22</v>
      </c>
      <c r="M6" s="110">
        <v>6.5</v>
      </c>
      <c r="N6" s="110">
        <v>3.2</v>
      </c>
      <c r="O6" s="110">
        <v>7.6</v>
      </c>
      <c r="P6" s="304">
        <f t="shared" ref="P6" si="0">IF(D6=0,$B6*M6/1000,$B6*D6/1000)</f>
        <v>0</v>
      </c>
      <c r="Q6" s="304">
        <f t="shared" ref="Q6" si="1">IF(E6=0,$B6*N6/1000,$B6*E6/1000)</f>
        <v>0</v>
      </c>
      <c r="R6" s="304">
        <f t="shared" ref="R6" si="2">IF(F6=0,$B6*O6/1000,$B6*F6/1000)</f>
        <v>0</v>
      </c>
      <c r="S6" s="304">
        <f>IF(I6=0,$G6*M6/1000,$G6*I6/1000)</f>
        <v>0</v>
      </c>
      <c r="T6" s="304">
        <f t="shared" ref="T6:U6" si="3">IF(J6=0,$G6*N6/1000,$G6*J6/1000)</f>
        <v>0</v>
      </c>
      <c r="U6" s="304">
        <f t="shared" si="3"/>
        <v>0</v>
      </c>
    </row>
    <row r="7" spans="1:24" ht="16.5" customHeight="1" x14ac:dyDescent="0.25">
      <c r="A7" s="373" t="s">
        <v>111</v>
      </c>
      <c r="B7" s="385"/>
      <c r="C7" s="1003"/>
      <c r="D7" s="651"/>
      <c r="E7" s="651"/>
      <c r="F7" s="652"/>
      <c r="G7" s="385"/>
      <c r="H7" s="1003"/>
      <c r="I7" s="651"/>
      <c r="J7" s="651"/>
      <c r="K7" s="652"/>
      <c r="L7" s="389">
        <v>0.22</v>
      </c>
      <c r="M7" s="110">
        <v>6.9</v>
      </c>
      <c r="N7" s="110">
        <v>3.2</v>
      </c>
      <c r="O7" s="110">
        <v>7.6</v>
      </c>
      <c r="P7" s="304">
        <f t="shared" ref="P7:P41" si="4">IF(D7=0,$B7*M7/1000,$B7*D7/1000)</f>
        <v>0</v>
      </c>
      <c r="Q7" s="304">
        <f t="shared" ref="Q7:Q41" si="5">IF(E7=0,$B7*N7/1000,$B7*E7/1000)</f>
        <v>0</v>
      </c>
      <c r="R7" s="304">
        <f t="shared" ref="R7:R41" si="6">IF(F7=0,$B7*O7/1000,$B7*F7/1000)</f>
        <v>0</v>
      </c>
      <c r="S7" s="304">
        <f t="shared" ref="S7:S41" si="7">IF(I7=0,$G7*M7/1000,$G7*I7/1000)</f>
        <v>0</v>
      </c>
      <c r="T7" s="304">
        <f t="shared" ref="T7:T41" si="8">IF(J7=0,$G7*N7/1000,$G7*J7/1000)</f>
        <v>0</v>
      </c>
      <c r="U7" s="304">
        <f t="shared" ref="U7:U41" si="9">IF(K7=0,$G7*O7/1000,$G7*K7/1000)</f>
        <v>0</v>
      </c>
    </row>
    <row r="8" spans="1:24" ht="16.5" customHeight="1" x14ac:dyDescent="0.25">
      <c r="A8" s="374" t="s">
        <v>112</v>
      </c>
      <c r="B8" s="385"/>
      <c r="C8" s="1003"/>
      <c r="D8" s="651"/>
      <c r="E8" s="651"/>
      <c r="F8" s="652"/>
      <c r="G8" s="385"/>
      <c r="H8" s="1003"/>
      <c r="I8" s="651"/>
      <c r="J8" s="651"/>
      <c r="K8" s="652"/>
      <c r="L8" s="389">
        <v>0.22</v>
      </c>
      <c r="M8" s="110">
        <v>6.7</v>
      </c>
      <c r="N8" s="110">
        <v>3.2</v>
      </c>
      <c r="O8" s="110">
        <v>7.6</v>
      </c>
      <c r="P8" s="304">
        <f t="shared" si="4"/>
        <v>0</v>
      </c>
      <c r="Q8" s="304">
        <f t="shared" si="5"/>
        <v>0</v>
      </c>
      <c r="R8" s="304">
        <f t="shared" si="6"/>
        <v>0</v>
      </c>
      <c r="S8" s="304">
        <f t="shared" si="7"/>
        <v>0</v>
      </c>
      <c r="T8" s="304">
        <f t="shared" si="8"/>
        <v>0</v>
      </c>
      <c r="U8" s="304">
        <f t="shared" si="9"/>
        <v>0</v>
      </c>
    </row>
    <row r="9" spans="1:24" ht="16.5" customHeight="1" x14ac:dyDescent="0.25">
      <c r="A9" s="373" t="s">
        <v>113</v>
      </c>
      <c r="B9" s="385"/>
      <c r="C9" s="1003"/>
      <c r="D9" s="651"/>
      <c r="E9" s="651"/>
      <c r="F9" s="652"/>
      <c r="G9" s="385"/>
      <c r="H9" s="1003"/>
      <c r="I9" s="651"/>
      <c r="J9" s="651"/>
      <c r="K9" s="652"/>
      <c r="L9" s="389">
        <v>0.22</v>
      </c>
      <c r="M9" s="110">
        <v>5.6</v>
      </c>
      <c r="N9" s="110">
        <v>2.1</v>
      </c>
      <c r="O9" s="110">
        <v>5.7</v>
      </c>
      <c r="P9" s="304">
        <f t="shared" si="4"/>
        <v>0</v>
      </c>
      <c r="Q9" s="304">
        <f t="shared" si="5"/>
        <v>0</v>
      </c>
      <c r="R9" s="304">
        <f t="shared" si="6"/>
        <v>0</v>
      </c>
      <c r="S9" s="304">
        <f t="shared" si="7"/>
        <v>0</v>
      </c>
      <c r="T9" s="304">
        <f t="shared" si="8"/>
        <v>0</v>
      </c>
      <c r="U9" s="304">
        <f t="shared" si="9"/>
        <v>0</v>
      </c>
    </row>
    <row r="10" spans="1:24" ht="16.5" customHeight="1" x14ac:dyDescent="0.25">
      <c r="A10" s="373" t="s">
        <v>114</v>
      </c>
      <c r="B10" s="385"/>
      <c r="C10" s="1003"/>
      <c r="D10" s="651"/>
      <c r="E10" s="651"/>
      <c r="F10" s="652"/>
      <c r="G10" s="385"/>
      <c r="H10" s="1003"/>
      <c r="I10" s="651"/>
      <c r="J10" s="651"/>
      <c r="K10" s="652"/>
      <c r="L10" s="389">
        <v>0.24</v>
      </c>
      <c r="M10" s="110">
        <v>5.2</v>
      </c>
      <c r="N10" s="110">
        <v>3.6</v>
      </c>
      <c r="O10" s="110">
        <v>5.5</v>
      </c>
      <c r="P10" s="304">
        <f t="shared" si="4"/>
        <v>0</v>
      </c>
      <c r="Q10" s="304">
        <f t="shared" si="5"/>
        <v>0</v>
      </c>
      <c r="R10" s="304">
        <f t="shared" si="6"/>
        <v>0</v>
      </c>
      <c r="S10" s="304">
        <f t="shared" si="7"/>
        <v>0</v>
      </c>
      <c r="T10" s="304">
        <f t="shared" si="8"/>
        <v>0</v>
      </c>
      <c r="U10" s="304">
        <f t="shared" si="9"/>
        <v>0</v>
      </c>
    </row>
    <row r="11" spans="1:24" ht="16.5" customHeight="1" x14ac:dyDescent="0.25">
      <c r="A11" s="373" t="s">
        <v>115</v>
      </c>
      <c r="B11" s="385"/>
      <c r="C11" s="1003"/>
      <c r="D11" s="651"/>
      <c r="E11" s="651"/>
      <c r="F11" s="652"/>
      <c r="G11" s="385"/>
      <c r="H11" s="1003"/>
      <c r="I11" s="651"/>
      <c r="J11" s="651"/>
      <c r="K11" s="652"/>
      <c r="L11" s="389">
        <v>0.24</v>
      </c>
      <c r="M11" s="110">
        <v>7.8</v>
      </c>
      <c r="N11" s="110">
        <v>4.7</v>
      </c>
      <c r="O11" s="110">
        <v>5.5</v>
      </c>
      <c r="P11" s="304">
        <f t="shared" si="4"/>
        <v>0</v>
      </c>
      <c r="Q11" s="304">
        <f t="shared" si="5"/>
        <v>0</v>
      </c>
      <c r="R11" s="304">
        <f t="shared" si="6"/>
        <v>0</v>
      </c>
      <c r="S11" s="304">
        <f t="shared" si="7"/>
        <v>0</v>
      </c>
      <c r="T11" s="304">
        <f t="shared" si="8"/>
        <v>0</v>
      </c>
      <c r="U11" s="304">
        <f t="shared" si="9"/>
        <v>0</v>
      </c>
    </row>
    <row r="12" spans="1:24" ht="16.5" customHeight="1" x14ac:dyDescent="0.25">
      <c r="A12" s="373" t="s">
        <v>3</v>
      </c>
      <c r="B12" s="385"/>
      <c r="C12" s="1003"/>
      <c r="D12" s="651"/>
      <c r="E12" s="651"/>
      <c r="F12" s="652"/>
      <c r="G12" s="385"/>
      <c r="H12" s="1003"/>
      <c r="I12" s="651"/>
      <c r="J12" s="651"/>
      <c r="K12" s="652"/>
      <c r="L12" s="389">
        <v>0.3</v>
      </c>
      <c r="M12" s="110">
        <v>5.2</v>
      </c>
      <c r="N12" s="110">
        <v>3.5</v>
      </c>
      <c r="O12" s="110">
        <v>8.6999999999999993</v>
      </c>
      <c r="P12" s="304">
        <f t="shared" si="4"/>
        <v>0</v>
      </c>
      <c r="Q12" s="304">
        <f t="shared" si="5"/>
        <v>0</v>
      </c>
      <c r="R12" s="304">
        <f t="shared" si="6"/>
        <v>0</v>
      </c>
      <c r="S12" s="304">
        <f t="shared" si="7"/>
        <v>0</v>
      </c>
      <c r="T12" s="304">
        <f t="shared" si="8"/>
        <v>0</v>
      </c>
      <c r="U12" s="304">
        <f t="shared" si="9"/>
        <v>0</v>
      </c>
    </row>
    <row r="13" spans="1:24" ht="16.5" customHeight="1" x14ac:dyDescent="0.25">
      <c r="A13" s="373" t="s">
        <v>4</v>
      </c>
      <c r="B13" s="385"/>
      <c r="C13" s="1003"/>
      <c r="D13" s="651"/>
      <c r="E13" s="651"/>
      <c r="F13" s="652"/>
      <c r="G13" s="385"/>
      <c r="H13" s="1003"/>
      <c r="I13" s="651"/>
      <c r="J13" s="651"/>
      <c r="K13" s="652"/>
      <c r="L13" s="389">
        <v>0.32</v>
      </c>
      <c r="M13" s="110">
        <v>8.9</v>
      </c>
      <c r="N13" s="110">
        <v>5.4</v>
      </c>
      <c r="O13" s="110">
        <v>17.7</v>
      </c>
      <c r="P13" s="304">
        <f t="shared" si="4"/>
        <v>0</v>
      </c>
      <c r="Q13" s="304">
        <f t="shared" si="5"/>
        <v>0</v>
      </c>
      <c r="R13" s="304">
        <f t="shared" si="6"/>
        <v>0</v>
      </c>
      <c r="S13" s="304">
        <f t="shared" si="7"/>
        <v>0</v>
      </c>
      <c r="T13" s="304">
        <f t="shared" si="8"/>
        <v>0</v>
      </c>
      <c r="U13" s="304">
        <f t="shared" si="9"/>
        <v>0</v>
      </c>
    </row>
    <row r="14" spans="1:24" ht="16.5" customHeight="1" x14ac:dyDescent="0.25">
      <c r="A14" s="373" t="s">
        <v>125</v>
      </c>
      <c r="B14" s="385"/>
      <c r="C14" s="1003"/>
      <c r="D14" s="651"/>
      <c r="E14" s="651"/>
      <c r="F14" s="652"/>
      <c r="G14" s="385"/>
      <c r="H14" s="1003"/>
      <c r="I14" s="651"/>
      <c r="J14" s="651"/>
      <c r="K14" s="652"/>
      <c r="L14" s="389">
        <v>0.28999999999999998</v>
      </c>
      <c r="M14" s="110">
        <v>7.9</v>
      </c>
      <c r="N14" s="110">
        <v>6.2</v>
      </c>
      <c r="O14" s="110">
        <v>10.4</v>
      </c>
      <c r="P14" s="304">
        <f t="shared" si="4"/>
        <v>0</v>
      </c>
      <c r="Q14" s="304">
        <f t="shared" si="5"/>
        <v>0</v>
      </c>
      <c r="R14" s="304">
        <f t="shared" si="6"/>
        <v>0</v>
      </c>
      <c r="S14" s="304">
        <f t="shared" si="7"/>
        <v>0</v>
      </c>
      <c r="T14" s="304">
        <f t="shared" si="8"/>
        <v>0</v>
      </c>
      <c r="U14" s="304">
        <f t="shared" si="9"/>
        <v>0</v>
      </c>
    </row>
    <row r="15" spans="1:24" ht="16.5" customHeight="1" x14ac:dyDescent="0.25">
      <c r="A15" s="373" t="s">
        <v>7</v>
      </c>
      <c r="B15" s="385"/>
      <c r="C15" s="1003"/>
      <c r="D15" s="651"/>
      <c r="E15" s="651"/>
      <c r="F15" s="652"/>
      <c r="G15" s="385"/>
      <c r="H15" s="1003"/>
      <c r="I15" s="651"/>
      <c r="J15" s="651"/>
      <c r="K15" s="652"/>
      <c r="L15" s="389">
        <v>0.42</v>
      </c>
      <c r="M15" s="110">
        <v>20.399999999999999</v>
      </c>
      <c r="N15" s="110">
        <v>16</v>
      </c>
      <c r="O15" s="110">
        <v>12.2</v>
      </c>
      <c r="P15" s="304">
        <f t="shared" si="4"/>
        <v>0</v>
      </c>
      <c r="Q15" s="304">
        <f t="shared" si="5"/>
        <v>0</v>
      </c>
      <c r="R15" s="304">
        <f t="shared" si="6"/>
        <v>0</v>
      </c>
      <c r="S15" s="304">
        <f t="shared" si="7"/>
        <v>0</v>
      </c>
      <c r="T15" s="304">
        <f t="shared" si="8"/>
        <v>0</v>
      </c>
      <c r="U15" s="304">
        <f t="shared" si="9"/>
        <v>0</v>
      </c>
    </row>
    <row r="16" spans="1:24" ht="16.5" customHeight="1" x14ac:dyDescent="0.25">
      <c r="A16" s="373" t="s">
        <v>535</v>
      </c>
      <c r="B16" s="385"/>
      <c r="C16" s="1003"/>
      <c r="D16" s="651"/>
      <c r="E16" s="651"/>
      <c r="F16" s="652"/>
      <c r="G16" s="385"/>
      <c r="H16" s="1003"/>
      <c r="I16" s="651"/>
      <c r="J16" s="651"/>
      <c r="K16" s="652"/>
      <c r="L16" s="390">
        <v>0</v>
      </c>
      <c r="M16" s="111"/>
      <c r="N16" s="111"/>
      <c r="O16" s="111"/>
      <c r="P16" s="304">
        <f t="shared" si="4"/>
        <v>0</v>
      </c>
      <c r="Q16" s="304">
        <f t="shared" si="5"/>
        <v>0</v>
      </c>
      <c r="R16" s="304">
        <f t="shared" si="6"/>
        <v>0</v>
      </c>
      <c r="S16" s="304">
        <f t="shared" si="7"/>
        <v>0</v>
      </c>
      <c r="T16" s="304">
        <f t="shared" si="8"/>
        <v>0</v>
      </c>
      <c r="U16" s="304">
        <f t="shared" si="9"/>
        <v>0</v>
      </c>
    </row>
    <row r="17" spans="1:21" ht="16.5" customHeight="1" x14ac:dyDescent="0.25">
      <c r="A17" s="373" t="s">
        <v>95</v>
      </c>
      <c r="B17" s="385"/>
      <c r="C17" s="1003"/>
      <c r="D17" s="651"/>
      <c r="E17" s="651"/>
      <c r="F17" s="652"/>
      <c r="G17" s="385"/>
      <c r="H17" s="1003"/>
      <c r="I17" s="651"/>
      <c r="J17" s="651"/>
      <c r="K17" s="652"/>
      <c r="L17" s="389">
        <v>0.21</v>
      </c>
      <c r="M17" s="112">
        <v>4.2</v>
      </c>
      <c r="N17" s="112">
        <v>1.7</v>
      </c>
      <c r="O17" s="112">
        <v>2.5</v>
      </c>
      <c r="P17" s="304">
        <f t="shared" si="4"/>
        <v>0</v>
      </c>
      <c r="Q17" s="304">
        <f t="shared" si="5"/>
        <v>0</v>
      </c>
      <c r="R17" s="304">
        <f t="shared" si="6"/>
        <v>0</v>
      </c>
      <c r="S17" s="304">
        <f t="shared" si="7"/>
        <v>0</v>
      </c>
      <c r="T17" s="304">
        <f t="shared" si="8"/>
        <v>0</v>
      </c>
      <c r="U17" s="304">
        <f t="shared" si="9"/>
        <v>0</v>
      </c>
    </row>
    <row r="18" spans="1:21" ht="16.5" customHeight="1" x14ac:dyDescent="0.25">
      <c r="A18" s="373" t="s">
        <v>97</v>
      </c>
      <c r="B18" s="385"/>
      <c r="C18" s="1003"/>
      <c r="D18" s="651"/>
      <c r="E18" s="651"/>
      <c r="F18" s="652"/>
      <c r="G18" s="385"/>
      <c r="H18" s="1003"/>
      <c r="I18" s="651"/>
      <c r="J18" s="651"/>
      <c r="K18" s="652"/>
      <c r="L18" s="389">
        <v>0.27</v>
      </c>
      <c r="M18" s="112">
        <v>6.3</v>
      </c>
      <c r="N18" s="112">
        <v>7.8</v>
      </c>
      <c r="O18" s="112">
        <v>2.9</v>
      </c>
      <c r="P18" s="304">
        <f t="shared" si="4"/>
        <v>0</v>
      </c>
      <c r="Q18" s="304">
        <f t="shared" si="5"/>
        <v>0</v>
      </c>
      <c r="R18" s="304">
        <f t="shared" si="6"/>
        <v>0</v>
      </c>
      <c r="S18" s="304">
        <f t="shared" si="7"/>
        <v>0</v>
      </c>
      <c r="T18" s="304">
        <f t="shared" si="8"/>
        <v>0</v>
      </c>
      <c r="U18" s="304">
        <f t="shared" si="9"/>
        <v>0</v>
      </c>
    </row>
    <row r="19" spans="1:21" ht="16.5" customHeight="1" x14ac:dyDescent="0.25">
      <c r="A19" s="373" t="s">
        <v>536</v>
      </c>
      <c r="B19" s="385"/>
      <c r="C19" s="1003"/>
      <c r="D19" s="651"/>
      <c r="E19" s="651"/>
      <c r="F19" s="652"/>
      <c r="G19" s="385"/>
      <c r="H19" s="1003"/>
      <c r="I19" s="651"/>
      <c r="J19" s="651"/>
      <c r="K19" s="652"/>
      <c r="L19" s="390">
        <v>0</v>
      </c>
      <c r="M19" s="111"/>
      <c r="N19" s="111"/>
      <c r="O19" s="111"/>
      <c r="P19" s="304">
        <f t="shared" si="4"/>
        <v>0</v>
      </c>
      <c r="Q19" s="304">
        <f t="shared" si="5"/>
        <v>0</v>
      </c>
      <c r="R19" s="304">
        <f t="shared" si="6"/>
        <v>0</v>
      </c>
      <c r="S19" s="304">
        <f t="shared" si="7"/>
        <v>0</v>
      </c>
      <c r="T19" s="304">
        <f t="shared" si="8"/>
        <v>0</v>
      </c>
      <c r="U19" s="304">
        <f t="shared" si="9"/>
        <v>0</v>
      </c>
    </row>
    <row r="20" spans="1:21" ht="16.5" customHeight="1" x14ac:dyDescent="0.25">
      <c r="A20" s="375" t="s">
        <v>116</v>
      </c>
      <c r="B20" s="385"/>
      <c r="C20" s="1003"/>
      <c r="D20" s="651"/>
      <c r="E20" s="651"/>
      <c r="F20" s="652"/>
      <c r="G20" s="385"/>
      <c r="H20" s="1003"/>
      <c r="I20" s="651"/>
      <c r="J20" s="651"/>
      <c r="K20" s="652"/>
      <c r="L20" s="389">
        <v>5.9000000000000004E-2</v>
      </c>
      <c r="M20" s="110">
        <v>3.7</v>
      </c>
      <c r="N20" s="110">
        <v>1.5</v>
      </c>
      <c r="O20" s="112">
        <v>3</v>
      </c>
      <c r="P20" s="304">
        <f t="shared" si="4"/>
        <v>0</v>
      </c>
      <c r="Q20" s="304">
        <f t="shared" si="5"/>
        <v>0</v>
      </c>
      <c r="R20" s="304">
        <f t="shared" si="6"/>
        <v>0</v>
      </c>
      <c r="S20" s="304">
        <f t="shared" si="7"/>
        <v>0</v>
      </c>
      <c r="T20" s="304">
        <f t="shared" si="8"/>
        <v>0</v>
      </c>
      <c r="U20" s="304">
        <f t="shared" si="9"/>
        <v>0</v>
      </c>
    </row>
    <row r="21" spans="1:21" ht="16.5" customHeight="1" x14ac:dyDescent="0.25">
      <c r="A21" s="375" t="s">
        <v>117</v>
      </c>
      <c r="B21" s="385"/>
      <c r="C21" s="1003"/>
      <c r="D21" s="651"/>
      <c r="E21" s="651"/>
      <c r="F21" s="652"/>
      <c r="G21" s="385"/>
      <c r="H21" s="1003"/>
      <c r="I21" s="651"/>
      <c r="J21" s="651"/>
      <c r="K21" s="652"/>
      <c r="L21" s="389">
        <v>9.1999999999999998E-2</v>
      </c>
      <c r="M21" s="110">
        <v>3.9</v>
      </c>
      <c r="N21" s="110">
        <v>1.9</v>
      </c>
      <c r="O21" s="112">
        <v>3.8</v>
      </c>
      <c r="P21" s="304">
        <f t="shared" si="4"/>
        <v>0</v>
      </c>
      <c r="Q21" s="304">
        <f t="shared" si="5"/>
        <v>0</v>
      </c>
      <c r="R21" s="304">
        <f t="shared" si="6"/>
        <v>0</v>
      </c>
      <c r="S21" s="304">
        <f t="shared" si="7"/>
        <v>0</v>
      </c>
      <c r="T21" s="304">
        <f t="shared" si="8"/>
        <v>0</v>
      </c>
      <c r="U21" s="304">
        <f t="shared" si="9"/>
        <v>0</v>
      </c>
    </row>
    <row r="22" spans="1:21" ht="16.5" customHeight="1" x14ac:dyDescent="0.25">
      <c r="A22" s="375" t="s">
        <v>118</v>
      </c>
      <c r="B22" s="385"/>
      <c r="C22" s="1003"/>
      <c r="D22" s="651"/>
      <c r="E22" s="651"/>
      <c r="F22" s="652"/>
      <c r="G22" s="385"/>
      <c r="H22" s="1003"/>
      <c r="I22" s="651"/>
      <c r="J22" s="651"/>
      <c r="K22" s="652"/>
      <c r="L22" s="389">
        <v>7.2000000000000008E-2</v>
      </c>
      <c r="M22" s="110">
        <v>3.8</v>
      </c>
      <c r="N22" s="110">
        <v>1.6</v>
      </c>
      <c r="O22" s="112">
        <v>3.1</v>
      </c>
      <c r="P22" s="304">
        <f t="shared" si="4"/>
        <v>0</v>
      </c>
      <c r="Q22" s="304">
        <f t="shared" si="5"/>
        <v>0</v>
      </c>
      <c r="R22" s="304">
        <f t="shared" si="6"/>
        <v>0</v>
      </c>
      <c r="S22" s="304">
        <f t="shared" si="7"/>
        <v>0</v>
      </c>
      <c r="T22" s="304">
        <f t="shared" si="8"/>
        <v>0</v>
      </c>
      <c r="U22" s="304">
        <f t="shared" si="9"/>
        <v>0</v>
      </c>
    </row>
    <row r="23" spans="1:21" ht="16.5" customHeight="1" x14ac:dyDescent="0.25">
      <c r="A23" s="376" t="s">
        <v>119</v>
      </c>
      <c r="B23" s="385"/>
      <c r="C23" s="1003"/>
      <c r="D23" s="651"/>
      <c r="E23" s="651"/>
      <c r="F23" s="652"/>
      <c r="G23" s="385"/>
      <c r="H23" s="1003"/>
      <c r="I23" s="651"/>
      <c r="J23" s="651"/>
      <c r="K23" s="652"/>
      <c r="L23" s="389">
        <v>7.2999999999999995E-2</v>
      </c>
      <c r="M23" s="110">
        <v>3.9</v>
      </c>
      <c r="N23" s="110">
        <v>1.6</v>
      </c>
      <c r="O23" s="112">
        <v>3.1</v>
      </c>
      <c r="P23" s="304">
        <f t="shared" si="4"/>
        <v>0</v>
      </c>
      <c r="Q23" s="304">
        <f t="shared" si="5"/>
        <v>0</v>
      </c>
      <c r="R23" s="304">
        <f t="shared" si="6"/>
        <v>0</v>
      </c>
      <c r="S23" s="304">
        <f t="shared" si="7"/>
        <v>0</v>
      </c>
      <c r="T23" s="304">
        <f t="shared" si="8"/>
        <v>0</v>
      </c>
      <c r="U23" s="304">
        <f t="shared" si="9"/>
        <v>0</v>
      </c>
    </row>
    <row r="24" spans="1:21" ht="16.5" customHeight="1" x14ac:dyDescent="0.25">
      <c r="A24" s="375" t="s">
        <v>94</v>
      </c>
      <c r="B24" s="385"/>
      <c r="C24" s="1003"/>
      <c r="D24" s="651"/>
      <c r="E24" s="651"/>
      <c r="F24" s="652"/>
      <c r="G24" s="385"/>
      <c r="H24" s="1003"/>
      <c r="I24" s="651"/>
      <c r="J24" s="651"/>
      <c r="K24" s="652"/>
      <c r="L24" s="389">
        <v>5.800000000000001E-2</v>
      </c>
      <c r="M24" s="110">
        <v>3.9</v>
      </c>
      <c r="N24" s="110">
        <v>1.6</v>
      </c>
      <c r="O24" s="112">
        <v>3.2</v>
      </c>
      <c r="P24" s="304">
        <f t="shared" si="4"/>
        <v>0</v>
      </c>
      <c r="Q24" s="304">
        <f t="shared" si="5"/>
        <v>0</v>
      </c>
      <c r="R24" s="304">
        <f t="shared" si="6"/>
        <v>0</v>
      </c>
      <c r="S24" s="304">
        <f t="shared" si="7"/>
        <v>0</v>
      </c>
      <c r="T24" s="304">
        <f t="shared" si="8"/>
        <v>0</v>
      </c>
      <c r="U24" s="304">
        <f t="shared" si="9"/>
        <v>0</v>
      </c>
    </row>
    <row r="25" spans="1:21" ht="16.5" customHeight="1" x14ac:dyDescent="0.25">
      <c r="A25" s="375" t="s">
        <v>120</v>
      </c>
      <c r="B25" s="385"/>
      <c r="C25" s="1003"/>
      <c r="D25" s="651"/>
      <c r="E25" s="651"/>
      <c r="F25" s="652"/>
      <c r="G25" s="385"/>
      <c r="H25" s="1003"/>
      <c r="I25" s="651"/>
      <c r="J25" s="651"/>
      <c r="K25" s="652"/>
      <c r="L25" s="389">
        <v>4.7E-2</v>
      </c>
      <c r="M25" s="110">
        <v>2.9</v>
      </c>
      <c r="N25" s="110">
        <v>1.4</v>
      </c>
      <c r="O25" s="112">
        <v>2</v>
      </c>
      <c r="P25" s="304">
        <f t="shared" si="4"/>
        <v>0</v>
      </c>
      <c r="Q25" s="304">
        <f t="shared" si="5"/>
        <v>0</v>
      </c>
      <c r="R25" s="304">
        <f t="shared" si="6"/>
        <v>0</v>
      </c>
      <c r="S25" s="304">
        <f t="shared" si="7"/>
        <v>0</v>
      </c>
      <c r="T25" s="304">
        <f t="shared" si="8"/>
        <v>0</v>
      </c>
      <c r="U25" s="304">
        <f t="shared" si="9"/>
        <v>0</v>
      </c>
    </row>
    <row r="26" spans="1:21" ht="16.5" customHeight="1" x14ac:dyDescent="0.25">
      <c r="A26" s="375" t="s">
        <v>121</v>
      </c>
      <c r="B26" s="385"/>
      <c r="C26" s="1003"/>
      <c r="D26" s="651"/>
      <c r="E26" s="651"/>
      <c r="F26" s="652"/>
      <c r="G26" s="385"/>
      <c r="H26" s="1003"/>
      <c r="I26" s="651"/>
      <c r="J26" s="651"/>
      <c r="K26" s="652"/>
      <c r="L26" s="389">
        <v>0.06</v>
      </c>
      <c r="M26" s="110">
        <v>4.5</v>
      </c>
      <c r="N26" s="110">
        <v>2.5</v>
      </c>
      <c r="O26" s="112">
        <v>2.6</v>
      </c>
      <c r="P26" s="304">
        <f t="shared" si="4"/>
        <v>0</v>
      </c>
      <c r="Q26" s="304">
        <f t="shared" si="5"/>
        <v>0</v>
      </c>
      <c r="R26" s="304">
        <f t="shared" si="6"/>
        <v>0</v>
      </c>
      <c r="S26" s="304">
        <f t="shared" si="7"/>
        <v>0</v>
      </c>
      <c r="T26" s="304">
        <f t="shared" si="8"/>
        <v>0</v>
      </c>
      <c r="U26" s="304">
        <f t="shared" si="9"/>
        <v>0</v>
      </c>
    </row>
    <row r="27" spans="1:21" ht="16.5" customHeight="1" x14ac:dyDescent="0.25">
      <c r="A27" s="375" t="s">
        <v>122</v>
      </c>
      <c r="B27" s="385"/>
      <c r="C27" s="1003"/>
      <c r="D27" s="651"/>
      <c r="E27" s="651"/>
      <c r="F27" s="652"/>
      <c r="G27" s="385"/>
      <c r="H27" s="1003"/>
      <c r="I27" s="651"/>
      <c r="J27" s="651"/>
      <c r="K27" s="652"/>
      <c r="L27" s="389">
        <v>4.5999999999999999E-2</v>
      </c>
      <c r="M27" s="110">
        <v>3.6</v>
      </c>
      <c r="N27" s="110">
        <v>1.9</v>
      </c>
      <c r="O27" s="112">
        <v>1.5</v>
      </c>
      <c r="P27" s="304">
        <f t="shared" si="4"/>
        <v>0</v>
      </c>
      <c r="Q27" s="304">
        <f t="shared" si="5"/>
        <v>0</v>
      </c>
      <c r="R27" s="304">
        <f t="shared" si="6"/>
        <v>0</v>
      </c>
      <c r="S27" s="304">
        <f t="shared" si="7"/>
        <v>0</v>
      </c>
      <c r="T27" s="304">
        <f t="shared" si="8"/>
        <v>0</v>
      </c>
      <c r="U27" s="304">
        <f t="shared" si="9"/>
        <v>0</v>
      </c>
    </row>
    <row r="28" spans="1:21" ht="16.5" customHeight="1" x14ac:dyDescent="0.25">
      <c r="A28" s="376" t="s">
        <v>123</v>
      </c>
      <c r="B28" s="385"/>
      <c r="C28" s="1003"/>
      <c r="D28" s="651"/>
      <c r="E28" s="651"/>
      <c r="F28" s="652"/>
      <c r="G28" s="385"/>
      <c r="H28" s="1003"/>
      <c r="I28" s="651"/>
      <c r="J28" s="651"/>
      <c r="K28" s="652"/>
      <c r="L28" s="389">
        <v>5.2999999999999999E-2</v>
      </c>
      <c r="M28" s="110">
        <v>4.0999999999999996</v>
      </c>
      <c r="N28" s="110">
        <v>2.4</v>
      </c>
      <c r="O28" s="112">
        <v>2.1</v>
      </c>
      <c r="P28" s="304">
        <f t="shared" si="4"/>
        <v>0</v>
      </c>
      <c r="Q28" s="304">
        <f t="shared" si="5"/>
        <v>0</v>
      </c>
      <c r="R28" s="304">
        <f t="shared" si="6"/>
        <v>0</v>
      </c>
      <c r="S28" s="304">
        <f t="shared" si="7"/>
        <v>0</v>
      </c>
      <c r="T28" s="304">
        <f t="shared" si="8"/>
        <v>0</v>
      </c>
      <c r="U28" s="304">
        <f t="shared" si="9"/>
        <v>0</v>
      </c>
    </row>
    <row r="29" spans="1:21" ht="16.5" customHeight="1" x14ac:dyDescent="0.25">
      <c r="A29" s="375" t="s">
        <v>96</v>
      </c>
      <c r="B29" s="385"/>
      <c r="C29" s="1003"/>
      <c r="D29" s="651"/>
      <c r="E29" s="651"/>
      <c r="F29" s="652"/>
      <c r="G29" s="385"/>
      <c r="H29" s="1003"/>
      <c r="I29" s="651"/>
      <c r="J29" s="651"/>
      <c r="K29" s="652"/>
      <c r="L29" s="389">
        <v>3.4000000000000002E-2</v>
      </c>
      <c r="M29" s="110">
        <v>3.9</v>
      </c>
      <c r="N29" s="110">
        <v>1.9</v>
      </c>
      <c r="O29" s="112">
        <v>2</v>
      </c>
      <c r="P29" s="304">
        <f t="shared" si="4"/>
        <v>0</v>
      </c>
      <c r="Q29" s="304">
        <f t="shared" si="5"/>
        <v>0</v>
      </c>
      <c r="R29" s="304">
        <f t="shared" si="6"/>
        <v>0</v>
      </c>
      <c r="S29" s="304">
        <f t="shared" si="7"/>
        <v>0</v>
      </c>
      <c r="T29" s="304">
        <f t="shared" si="8"/>
        <v>0</v>
      </c>
      <c r="U29" s="304">
        <f t="shared" si="9"/>
        <v>0</v>
      </c>
    </row>
    <row r="30" spans="1:21" ht="16.5" customHeight="1" x14ac:dyDescent="0.25">
      <c r="A30" s="375" t="s">
        <v>126</v>
      </c>
      <c r="B30" s="385"/>
      <c r="C30" s="1003"/>
      <c r="D30" s="651"/>
      <c r="E30" s="651"/>
      <c r="F30" s="652"/>
      <c r="G30" s="385"/>
      <c r="H30" s="1003"/>
      <c r="I30" s="651"/>
      <c r="J30" s="651"/>
      <c r="K30" s="652"/>
      <c r="L30" s="389">
        <v>0.18</v>
      </c>
      <c r="M30" s="110">
        <v>4.0999999999999996</v>
      </c>
      <c r="N30" s="110">
        <v>4.0999999999999996</v>
      </c>
      <c r="O30" s="112">
        <v>4.2</v>
      </c>
      <c r="P30" s="304">
        <f t="shared" si="4"/>
        <v>0</v>
      </c>
      <c r="Q30" s="304">
        <f t="shared" si="5"/>
        <v>0</v>
      </c>
      <c r="R30" s="304">
        <f t="shared" si="6"/>
        <v>0</v>
      </c>
      <c r="S30" s="304">
        <f t="shared" si="7"/>
        <v>0</v>
      </c>
      <c r="T30" s="304">
        <f t="shared" si="8"/>
        <v>0</v>
      </c>
      <c r="U30" s="304">
        <f t="shared" si="9"/>
        <v>0</v>
      </c>
    </row>
    <row r="31" spans="1:21" ht="16.5" customHeight="1" x14ac:dyDescent="0.25">
      <c r="A31" s="375" t="s">
        <v>537</v>
      </c>
      <c r="B31" s="385"/>
      <c r="C31" s="1003"/>
      <c r="D31" s="651"/>
      <c r="E31" s="651"/>
      <c r="F31" s="652"/>
      <c r="G31" s="385"/>
      <c r="H31" s="1003"/>
      <c r="I31" s="651"/>
      <c r="J31" s="651"/>
      <c r="K31" s="652"/>
      <c r="L31" s="390">
        <v>0</v>
      </c>
      <c r="M31" s="111"/>
      <c r="N31" s="111"/>
      <c r="O31" s="111"/>
      <c r="P31" s="304">
        <f t="shared" si="4"/>
        <v>0</v>
      </c>
      <c r="Q31" s="304">
        <f t="shared" si="5"/>
        <v>0</v>
      </c>
      <c r="R31" s="304">
        <f t="shared" si="6"/>
        <v>0</v>
      </c>
      <c r="S31" s="304">
        <f t="shared" si="7"/>
        <v>0</v>
      </c>
      <c r="T31" s="304">
        <f t="shared" si="8"/>
        <v>0</v>
      </c>
      <c r="U31" s="304">
        <f t="shared" si="9"/>
        <v>0</v>
      </c>
    </row>
    <row r="32" spans="1:21" ht="16.5" customHeight="1" x14ac:dyDescent="0.25">
      <c r="A32" s="377" t="s">
        <v>106</v>
      </c>
      <c r="B32" s="385"/>
      <c r="C32" s="1003"/>
      <c r="D32" s="651"/>
      <c r="E32" s="651"/>
      <c r="F32" s="652"/>
      <c r="G32" s="385"/>
      <c r="H32" s="1003"/>
      <c r="I32" s="651"/>
      <c r="J32" s="651"/>
      <c r="K32" s="652"/>
      <c r="L32" s="389">
        <v>1.3000000000000001E-2</v>
      </c>
      <c r="M32" s="112">
        <v>1.5</v>
      </c>
      <c r="N32" s="112">
        <v>0.2</v>
      </c>
      <c r="O32" s="112">
        <v>2.1</v>
      </c>
      <c r="P32" s="304">
        <f t="shared" si="4"/>
        <v>0</v>
      </c>
      <c r="Q32" s="304">
        <f t="shared" si="5"/>
        <v>0</v>
      </c>
      <c r="R32" s="304">
        <f t="shared" si="6"/>
        <v>0</v>
      </c>
      <c r="S32" s="304">
        <f t="shared" si="7"/>
        <v>0</v>
      </c>
      <c r="T32" s="304">
        <f t="shared" si="8"/>
        <v>0</v>
      </c>
      <c r="U32" s="304">
        <f t="shared" si="9"/>
        <v>0</v>
      </c>
    </row>
    <row r="33" spans="1:21" ht="16.5" customHeight="1" x14ac:dyDescent="0.25">
      <c r="A33" s="377" t="s">
        <v>107</v>
      </c>
      <c r="B33" s="385"/>
      <c r="C33" s="1003"/>
      <c r="D33" s="651"/>
      <c r="E33" s="651"/>
      <c r="F33" s="652"/>
      <c r="G33" s="385"/>
      <c r="H33" s="1003"/>
      <c r="I33" s="651"/>
      <c r="J33" s="651"/>
      <c r="K33" s="652"/>
      <c r="L33" s="389">
        <v>1.2E-2</v>
      </c>
      <c r="M33" s="112">
        <v>2.1</v>
      </c>
      <c r="N33" s="112">
        <v>0.5</v>
      </c>
      <c r="O33" s="112">
        <v>2.1</v>
      </c>
      <c r="P33" s="304">
        <f t="shared" si="4"/>
        <v>0</v>
      </c>
      <c r="Q33" s="304">
        <f t="shared" si="5"/>
        <v>0</v>
      </c>
      <c r="R33" s="304">
        <f t="shared" si="6"/>
        <v>0</v>
      </c>
      <c r="S33" s="304">
        <f t="shared" si="7"/>
        <v>0</v>
      </c>
      <c r="T33" s="304">
        <f t="shared" si="8"/>
        <v>0</v>
      </c>
      <c r="U33" s="304">
        <f t="shared" si="9"/>
        <v>0</v>
      </c>
    </row>
    <row r="34" spans="1:21" ht="16.5" customHeight="1" x14ac:dyDescent="0.25">
      <c r="A34" s="377" t="s">
        <v>538</v>
      </c>
      <c r="B34" s="385"/>
      <c r="C34" s="1003"/>
      <c r="D34" s="651"/>
      <c r="E34" s="651"/>
      <c r="F34" s="652"/>
      <c r="G34" s="385"/>
      <c r="H34" s="1003"/>
      <c r="I34" s="651"/>
      <c r="J34" s="651"/>
      <c r="K34" s="652"/>
      <c r="L34" s="390">
        <v>0</v>
      </c>
      <c r="M34" s="113"/>
      <c r="N34" s="111"/>
      <c r="O34" s="111"/>
      <c r="P34" s="304">
        <f t="shared" si="4"/>
        <v>0</v>
      </c>
      <c r="Q34" s="304">
        <f t="shared" si="5"/>
        <v>0</v>
      </c>
      <c r="R34" s="304">
        <f t="shared" si="6"/>
        <v>0</v>
      </c>
      <c r="S34" s="304">
        <f t="shared" si="7"/>
        <v>0</v>
      </c>
      <c r="T34" s="304">
        <f t="shared" si="8"/>
        <v>0</v>
      </c>
      <c r="U34" s="304">
        <f t="shared" si="9"/>
        <v>0</v>
      </c>
    </row>
    <row r="35" spans="1:21" ht="16.5" customHeight="1" x14ac:dyDescent="0.25">
      <c r="A35" s="378" t="s">
        <v>128</v>
      </c>
      <c r="B35" s="385"/>
      <c r="C35" s="1003"/>
      <c r="D35" s="651"/>
      <c r="E35" s="651"/>
      <c r="F35" s="652"/>
      <c r="G35" s="385"/>
      <c r="H35" s="1003"/>
      <c r="I35" s="651"/>
      <c r="J35" s="651"/>
      <c r="K35" s="652"/>
      <c r="L35" s="389">
        <v>1.3000000000000001E-2</v>
      </c>
      <c r="M35" s="110">
        <v>1.5</v>
      </c>
      <c r="N35" s="112">
        <v>0.2</v>
      </c>
      <c r="O35" s="112">
        <v>2.1</v>
      </c>
      <c r="P35" s="304">
        <f t="shared" si="4"/>
        <v>0</v>
      </c>
      <c r="Q35" s="304">
        <f t="shared" si="5"/>
        <v>0</v>
      </c>
      <c r="R35" s="304">
        <f t="shared" si="6"/>
        <v>0</v>
      </c>
      <c r="S35" s="304">
        <f t="shared" si="7"/>
        <v>0</v>
      </c>
      <c r="T35" s="304">
        <f t="shared" si="8"/>
        <v>0</v>
      </c>
      <c r="U35" s="304">
        <f t="shared" si="9"/>
        <v>0</v>
      </c>
    </row>
    <row r="36" spans="1:21" ht="16.5" customHeight="1" x14ac:dyDescent="0.25">
      <c r="A36" s="378" t="s">
        <v>129</v>
      </c>
      <c r="B36" s="385"/>
      <c r="C36" s="1003"/>
      <c r="D36" s="651"/>
      <c r="E36" s="651"/>
      <c r="F36" s="652"/>
      <c r="G36" s="385"/>
      <c r="H36" s="1003"/>
      <c r="I36" s="651"/>
      <c r="J36" s="651"/>
      <c r="K36" s="652"/>
      <c r="L36" s="389">
        <v>1.2E-2</v>
      </c>
      <c r="M36" s="110">
        <v>2.1</v>
      </c>
      <c r="N36" s="112">
        <v>0.5</v>
      </c>
      <c r="O36" s="112">
        <v>2.1</v>
      </c>
      <c r="P36" s="304">
        <f t="shared" si="4"/>
        <v>0</v>
      </c>
      <c r="Q36" s="304">
        <f t="shared" si="5"/>
        <v>0</v>
      </c>
      <c r="R36" s="304">
        <f t="shared" si="6"/>
        <v>0</v>
      </c>
      <c r="S36" s="304">
        <f t="shared" si="7"/>
        <v>0</v>
      </c>
      <c r="T36" s="304">
        <f t="shared" si="8"/>
        <v>0</v>
      </c>
      <c r="U36" s="304">
        <f t="shared" si="9"/>
        <v>0</v>
      </c>
    </row>
    <row r="37" spans="1:21" ht="16.5" customHeight="1" x14ac:dyDescent="0.25">
      <c r="A37" s="378" t="s">
        <v>539</v>
      </c>
      <c r="B37" s="385"/>
      <c r="C37" s="1003"/>
      <c r="D37" s="651"/>
      <c r="E37" s="651"/>
      <c r="F37" s="652"/>
      <c r="G37" s="385"/>
      <c r="H37" s="1003"/>
      <c r="I37" s="651"/>
      <c r="J37" s="651"/>
      <c r="K37" s="652"/>
      <c r="L37" s="390">
        <v>0</v>
      </c>
      <c r="M37" s="111"/>
      <c r="N37" s="111"/>
      <c r="O37" s="111"/>
      <c r="P37" s="304">
        <f t="shared" si="4"/>
        <v>0</v>
      </c>
      <c r="Q37" s="304">
        <f t="shared" si="5"/>
        <v>0</v>
      </c>
      <c r="R37" s="304">
        <f t="shared" si="6"/>
        <v>0</v>
      </c>
      <c r="S37" s="304">
        <f t="shared" si="7"/>
        <v>0</v>
      </c>
      <c r="T37" s="304">
        <f t="shared" si="8"/>
        <v>0</v>
      </c>
      <c r="U37" s="304">
        <f t="shared" si="9"/>
        <v>0</v>
      </c>
    </row>
    <row r="38" spans="1:21" ht="16.5" customHeight="1" x14ac:dyDescent="0.25">
      <c r="A38" s="378" t="s">
        <v>127</v>
      </c>
      <c r="B38" s="385"/>
      <c r="C38" s="1003"/>
      <c r="D38" s="651"/>
      <c r="E38" s="651"/>
      <c r="F38" s="652"/>
      <c r="G38" s="385"/>
      <c r="H38" s="1003"/>
      <c r="I38" s="651"/>
      <c r="J38" s="651"/>
      <c r="K38" s="652"/>
      <c r="L38" s="389">
        <v>2.1000000000000001E-2</v>
      </c>
      <c r="M38" s="112">
        <v>1.3</v>
      </c>
      <c r="N38" s="112">
        <v>0.7</v>
      </c>
      <c r="O38" s="112">
        <v>2.5</v>
      </c>
      <c r="P38" s="304">
        <f t="shared" si="4"/>
        <v>0</v>
      </c>
      <c r="Q38" s="304">
        <f t="shared" si="5"/>
        <v>0</v>
      </c>
      <c r="R38" s="304">
        <f t="shared" si="6"/>
        <v>0</v>
      </c>
      <c r="S38" s="304">
        <f t="shared" si="7"/>
        <v>0</v>
      </c>
      <c r="T38" s="304">
        <f t="shared" si="8"/>
        <v>0</v>
      </c>
      <c r="U38" s="304">
        <f t="shared" si="9"/>
        <v>0</v>
      </c>
    </row>
    <row r="39" spans="1:21" ht="16.5" customHeight="1" x14ac:dyDescent="0.25">
      <c r="A39" s="378" t="s">
        <v>124</v>
      </c>
      <c r="B39" s="385"/>
      <c r="C39" s="1003"/>
      <c r="D39" s="651"/>
      <c r="E39" s="651"/>
      <c r="F39" s="652"/>
      <c r="G39" s="385"/>
      <c r="H39" s="1003"/>
      <c r="I39" s="651"/>
      <c r="J39" s="651"/>
      <c r="K39" s="652"/>
      <c r="L39" s="389">
        <v>0.28000000000000003</v>
      </c>
      <c r="M39" s="112">
        <v>18.5</v>
      </c>
      <c r="N39" s="112">
        <v>12.8</v>
      </c>
      <c r="O39" s="112">
        <v>8.9</v>
      </c>
      <c r="P39" s="304">
        <f t="shared" si="4"/>
        <v>0</v>
      </c>
      <c r="Q39" s="304">
        <f t="shared" si="5"/>
        <v>0</v>
      </c>
      <c r="R39" s="304">
        <f t="shared" si="6"/>
        <v>0</v>
      </c>
      <c r="S39" s="304">
        <f t="shared" si="7"/>
        <v>0</v>
      </c>
      <c r="T39" s="304">
        <f t="shared" si="8"/>
        <v>0</v>
      </c>
      <c r="U39" s="304">
        <f t="shared" si="9"/>
        <v>0</v>
      </c>
    </row>
    <row r="40" spans="1:21" ht="16.5" customHeight="1" x14ac:dyDescent="0.25">
      <c r="A40" s="378" t="s">
        <v>5</v>
      </c>
      <c r="B40" s="385"/>
      <c r="C40" s="1003"/>
      <c r="D40" s="651"/>
      <c r="E40" s="651"/>
      <c r="F40" s="652"/>
      <c r="G40" s="385"/>
      <c r="H40" s="1003"/>
      <c r="I40" s="651"/>
      <c r="J40" s="651"/>
      <c r="K40" s="652"/>
      <c r="L40" s="389">
        <v>0.32</v>
      </c>
      <c r="M40" s="112">
        <v>19</v>
      </c>
      <c r="N40" s="112">
        <v>14.6</v>
      </c>
      <c r="O40" s="112">
        <v>10.199999999999999</v>
      </c>
      <c r="P40" s="304">
        <f t="shared" si="4"/>
        <v>0</v>
      </c>
      <c r="Q40" s="304">
        <f t="shared" si="5"/>
        <v>0</v>
      </c>
      <c r="R40" s="304">
        <f t="shared" si="6"/>
        <v>0</v>
      </c>
      <c r="S40" s="304">
        <f t="shared" si="7"/>
        <v>0</v>
      </c>
      <c r="T40" s="304">
        <f t="shared" si="8"/>
        <v>0</v>
      </c>
      <c r="U40" s="304">
        <f t="shared" si="9"/>
        <v>0</v>
      </c>
    </row>
    <row r="41" spans="1:21" ht="16.5" customHeight="1" x14ac:dyDescent="0.25">
      <c r="A41" s="378" t="s">
        <v>6</v>
      </c>
      <c r="B41" s="385"/>
      <c r="C41" s="1003"/>
      <c r="D41" s="651"/>
      <c r="E41" s="651"/>
      <c r="F41" s="652"/>
      <c r="G41" s="385"/>
      <c r="H41" s="1003"/>
      <c r="I41" s="651"/>
      <c r="J41" s="651"/>
      <c r="K41" s="652"/>
      <c r="L41" s="389">
        <v>0.73</v>
      </c>
      <c r="M41" s="112">
        <v>35</v>
      </c>
      <c r="N41" s="112">
        <v>33.299999999999997</v>
      </c>
      <c r="O41" s="112">
        <v>23.2</v>
      </c>
      <c r="P41" s="304">
        <f t="shared" si="4"/>
        <v>0</v>
      </c>
      <c r="Q41" s="304">
        <f t="shared" si="5"/>
        <v>0</v>
      </c>
      <c r="R41" s="304">
        <f t="shared" si="6"/>
        <v>0</v>
      </c>
      <c r="S41" s="304">
        <f t="shared" si="7"/>
        <v>0</v>
      </c>
      <c r="T41" s="304">
        <f t="shared" si="8"/>
        <v>0</v>
      </c>
      <c r="U41" s="304">
        <f t="shared" si="9"/>
        <v>0</v>
      </c>
    </row>
    <row r="42" spans="1:21" ht="16.5" customHeight="1" x14ac:dyDescent="0.25">
      <c r="A42" s="379" t="s">
        <v>105</v>
      </c>
      <c r="B42" s="386">
        <f>SUM(B6:B41)</f>
        <v>0</v>
      </c>
      <c r="C42" s="646"/>
      <c r="D42" s="647"/>
      <c r="E42" s="647"/>
      <c r="F42" s="648"/>
      <c r="G42" s="386">
        <f>SUM(G6:G41)</f>
        <v>0</v>
      </c>
      <c r="H42" s="661"/>
      <c r="I42" s="662"/>
      <c r="J42" s="662"/>
      <c r="K42" s="663"/>
      <c r="L42" s="391"/>
      <c r="M42" s="114"/>
      <c r="N42" s="114"/>
      <c r="O42" s="114"/>
      <c r="P42" s="305">
        <f>SUM(P6:P41)</f>
        <v>0</v>
      </c>
      <c r="Q42" s="305">
        <f t="shared" ref="Q42:U42" si="10">SUM(Q6:Q41)</f>
        <v>0</v>
      </c>
      <c r="R42" s="305">
        <f t="shared" si="10"/>
        <v>0</v>
      </c>
      <c r="S42" s="305">
        <f t="shared" si="10"/>
        <v>0</v>
      </c>
      <c r="T42" s="305">
        <f t="shared" si="10"/>
        <v>0</v>
      </c>
      <c r="U42" s="305">
        <f t="shared" si="10"/>
        <v>0</v>
      </c>
    </row>
    <row r="43" spans="1:21" ht="30" customHeight="1" x14ac:dyDescent="0.25">
      <c r="A43" s="681" t="s">
        <v>511</v>
      </c>
      <c r="B43" s="679"/>
      <c r="C43" s="818" t="s">
        <v>622</v>
      </c>
      <c r="D43" s="818"/>
      <c r="E43" s="818"/>
      <c r="F43" s="819"/>
      <c r="G43" s="680"/>
      <c r="H43" s="818" t="s">
        <v>622</v>
      </c>
      <c r="I43" s="818"/>
      <c r="J43" s="818"/>
      <c r="K43" s="819"/>
      <c r="L43" s="816" t="s">
        <v>227</v>
      </c>
      <c r="M43" s="817"/>
      <c r="N43" s="817"/>
      <c r="O43" s="817"/>
      <c r="P43" s="677"/>
      <c r="Q43" s="677"/>
      <c r="R43" s="677"/>
      <c r="S43" s="677"/>
      <c r="T43" s="677"/>
      <c r="U43" s="677"/>
    </row>
    <row r="44" spans="1:21" ht="16.5" customHeight="1" x14ac:dyDescent="0.25">
      <c r="A44" s="378" t="s">
        <v>202</v>
      </c>
      <c r="B44" s="385"/>
      <c r="C44" s="1004"/>
      <c r="D44" s="644"/>
      <c r="E44" s="644"/>
      <c r="F44" s="645"/>
      <c r="G44" s="385"/>
      <c r="H44" s="1003"/>
      <c r="I44" s="651"/>
      <c r="J44" s="651"/>
      <c r="K44" s="652"/>
      <c r="L44" s="392">
        <v>0.4</v>
      </c>
      <c r="M44" s="110">
        <v>5.5</v>
      </c>
      <c r="N44" s="110">
        <v>4.5</v>
      </c>
      <c r="O44" s="110">
        <v>6.1</v>
      </c>
      <c r="P44" s="304">
        <f t="shared" ref="P44" si="11">IF(D44=0,$B44*M44/1000,$B44*D44/1000)</f>
        <v>0</v>
      </c>
      <c r="Q44" s="304">
        <f t="shared" ref="Q44" si="12">IF(E44=0,$B44*N44/1000,$B44*E44/1000)</f>
        <v>0</v>
      </c>
      <c r="R44" s="304">
        <f t="shared" ref="R44" si="13">IF(F44=0,$B44*O44/1000,$B44*F44/1000)</f>
        <v>0</v>
      </c>
      <c r="S44" s="304">
        <f t="shared" ref="S44" si="14">IF(I44=0,$G44*M44/1000,$G44*I44/1000)</f>
        <v>0</v>
      </c>
      <c r="T44" s="304">
        <f t="shared" ref="T44" si="15">IF(J44=0,$G44*N44/1000,$G44*J44/1000)</f>
        <v>0</v>
      </c>
      <c r="U44" s="304">
        <f t="shared" ref="U44" si="16">IF(K44=0,$G44*O44/1000,$G44*K44/1000)</f>
        <v>0</v>
      </c>
    </row>
    <row r="45" spans="1:21" ht="16.5" customHeight="1" x14ac:dyDescent="0.25">
      <c r="A45" s="378" t="s">
        <v>58</v>
      </c>
      <c r="B45" s="385"/>
      <c r="C45" s="1004"/>
      <c r="D45" s="644"/>
      <c r="E45" s="644"/>
      <c r="F45" s="645"/>
      <c r="G45" s="385"/>
      <c r="H45" s="1003"/>
      <c r="I45" s="651"/>
      <c r="J45" s="651"/>
      <c r="K45" s="652"/>
      <c r="L45" s="392">
        <v>6.5000000000000002E-2</v>
      </c>
      <c r="M45" s="110">
        <v>4.5</v>
      </c>
      <c r="N45" s="110">
        <v>1.4</v>
      </c>
      <c r="O45" s="110">
        <v>4.4000000000000004</v>
      </c>
      <c r="P45" s="304">
        <f t="shared" ref="P45:P53" si="17">IF(D45=0,$B45*M45/1000,$B45*D45/1000)</f>
        <v>0</v>
      </c>
      <c r="Q45" s="304">
        <f t="shared" ref="Q45:Q53" si="18">IF(E45=0,$B45*N45/1000,$B45*E45/1000)</f>
        <v>0</v>
      </c>
      <c r="R45" s="304">
        <f t="shared" ref="R45:R53" si="19">IF(F45=0,$B45*O45/1000,$B45*F45/1000)</f>
        <v>0</v>
      </c>
      <c r="S45" s="304">
        <f t="shared" ref="S45:S53" si="20">IF(I45=0,$G45*M45/1000,$G45*I45/1000)</f>
        <v>0</v>
      </c>
      <c r="T45" s="304">
        <f t="shared" ref="T45:T53" si="21">IF(J45=0,$G45*N45/1000,$G45*J45/1000)</f>
        <v>0</v>
      </c>
      <c r="U45" s="304">
        <f t="shared" ref="U45:U53" si="22">IF(K45=0,$G45*O45/1000,$G45*K45/1000)</f>
        <v>0</v>
      </c>
    </row>
    <row r="46" spans="1:21" ht="16.5" customHeight="1" x14ac:dyDescent="0.25">
      <c r="A46" s="378" t="s">
        <v>98</v>
      </c>
      <c r="B46" s="385"/>
      <c r="C46" s="1004"/>
      <c r="D46" s="644"/>
      <c r="E46" s="644"/>
      <c r="F46" s="645"/>
      <c r="G46" s="385"/>
      <c r="H46" s="1003"/>
      <c r="I46" s="651"/>
      <c r="J46" s="651"/>
      <c r="K46" s="652"/>
      <c r="L46" s="392">
        <v>4.2999999999999997E-2</v>
      </c>
      <c r="M46" s="110">
        <v>4.2</v>
      </c>
      <c r="N46" s="110">
        <v>1.1000000000000001</v>
      </c>
      <c r="O46" s="110">
        <v>3.9</v>
      </c>
      <c r="P46" s="304">
        <f t="shared" si="17"/>
        <v>0</v>
      </c>
      <c r="Q46" s="304">
        <f t="shared" si="18"/>
        <v>0</v>
      </c>
      <c r="R46" s="304">
        <f t="shared" si="19"/>
        <v>0</v>
      </c>
      <c r="S46" s="304">
        <f t="shared" si="20"/>
        <v>0</v>
      </c>
      <c r="T46" s="304">
        <f t="shared" si="21"/>
        <v>0</v>
      </c>
      <c r="U46" s="304">
        <f t="shared" si="22"/>
        <v>0</v>
      </c>
    </row>
    <row r="47" spans="1:21" ht="16.5" customHeight="1" x14ac:dyDescent="0.25">
      <c r="A47" s="378" t="s">
        <v>99</v>
      </c>
      <c r="B47" s="385"/>
      <c r="C47" s="1004"/>
      <c r="D47" s="644"/>
      <c r="E47" s="644"/>
      <c r="F47" s="645"/>
      <c r="G47" s="385"/>
      <c r="H47" s="1003"/>
      <c r="I47" s="651"/>
      <c r="J47" s="651"/>
      <c r="K47" s="652"/>
      <c r="L47" s="392">
        <v>0.23</v>
      </c>
      <c r="M47" s="110">
        <v>5.4</v>
      </c>
      <c r="N47" s="110">
        <v>4.9000000000000004</v>
      </c>
      <c r="O47" s="110">
        <v>5.5</v>
      </c>
      <c r="P47" s="304">
        <f t="shared" si="17"/>
        <v>0</v>
      </c>
      <c r="Q47" s="304">
        <f t="shared" si="18"/>
        <v>0</v>
      </c>
      <c r="R47" s="304">
        <f t="shared" si="19"/>
        <v>0</v>
      </c>
      <c r="S47" s="304">
        <f t="shared" si="20"/>
        <v>0</v>
      </c>
      <c r="T47" s="304">
        <f t="shared" si="21"/>
        <v>0</v>
      </c>
      <c r="U47" s="304">
        <f t="shared" si="22"/>
        <v>0</v>
      </c>
    </row>
    <row r="48" spans="1:21" ht="16.5" customHeight="1" x14ac:dyDescent="0.25">
      <c r="A48" s="380" t="s">
        <v>540</v>
      </c>
      <c r="B48" s="385"/>
      <c r="C48" s="1004"/>
      <c r="D48" s="644"/>
      <c r="E48" s="644"/>
      <c r="F48" s="645"/>
      <c r="G48" s="385"/>
      <c r="H48" s="1003"/>
      <c r="I48" s="651"/>
      <c r="J48" s="651"/>
      <c r="K48" s="652"/>
      <c r="L48" s="393"/>
      <c r="M48" s="111"/>
      <c r="N48" s="111"/>
      <c r="O48" s="111"/>
      <c r="P48" s="304">
        <f t="shared" si="17"/>
        <v>0</v>
      </c>
      <c r="Q48" s="304">
        <f t="shared" si="18"/>
        <v>0</v>
      </c>
      <c r="R48" s="304">
        <f t="shared" si="19"/>
        <v>0</v>
      </c>
      <c r="S48" s="304">
        <f t="shared" si="20"/>
        <v>0</v>
      </c>
      <c r="T48" s="304">
        <f t="shared" si="21"/>
        <v>0</v>
      </c>
      <c r="U48" s="304">
        <f t="shared" si="22"/>
        <v>0</v>
      </c>
    </row>
    <row r="49" spans="1:21" ht="16.5" customHeight="1" x14ac:dyDescent="0.25">
      <c r="A49" s="380" t="s">
        <v>541</v>
      </c>
      <c r="B49" s="385"/>
      <c r="C49" s="1004"/>
      <c r="D49" s="644"/>
      <c r="E49" s="644"/>
      <c r="F49" s="645"/>
      <c r="G49" s="385"/>
      <c r="H49" s="1003"/>
      <c r="I49" s="651"/>
      <c r="J49" s="651"/>
      <c r="K49" s="652"/>
      <c r="L49" s="393"/>
      <c r="M49" s="111"/>
      <c r="N49" s="111"/>
      <c r="O49" s="111"/>
      <c r="P49" s="304">
        <f t="shared" si="17"/>
        <v>0</v>
      </c>
      <c r="Q49" s="304">
        <f t="shared" si="18"/>
        <v>0</v>
      </c>
      <c r="R49" s="304">
        <f t="shared" si="19"/>
        <v>0</v>
      </c>
      <c r="S49" s="304">
        <f t="shared" si="20"/>
        <v>0</v>
      </c>
      <c r="T49" s="304">
        <f t="shared" si="21"/>
        <v>0</v>
      </c>
      <c r="U49" s="304">
        <f t="shared" si="22"/>
        <v>0</v>
      </c>
    </row>
    <row r="50" spans="1:21" ht="16.5" customHeight="1" x14ac:dyDescent="0.25">
      <c r="A50" s="380" t="s">
        <v>542</v>
      </c>
      <c r="B50" s="385"/>
      <c r="C50" s="1004"/>
      <c r="D50" s="644"/>
      <c r="E50" s="644"/>
      <c r="F50" s="645"/>
      <c r="G50" s="385"/>
      <c r="H50" s="1003"/>
      <c r="I50" s="651"/>
      <c r="J50" s="651"/>
      <c r="K50" s="652"/>
      <c r="L50" s="393"/>
      <c r="M50" s="111"/>
      <c r="N50" s="111"/>
      <c r="O50" s="111"/>
      <c r="P50" s="304">
        <f t="shared" si="17"/>
        <v>0</v>
      </c>
      <c r="Q50" s="304">
        <f t="shared" si="18"/>
        <v>0</v>
      </c>
      <c r="R50" s="304">
        <f t="shared" si="19"/>
        <v>0</v>
      </c>
      <c r="S50" s="304">
        <f t="shared" si="20"/>
        <v>0</v>
      </c>
      <c r="T50" s="304">
        <f t="shared" si="21"/>
        <v>0</v>
      </c>
      <c r="U50" s="304">
        <f t="shared" si="22"/>
        <v>0</v>
      </c>
    </row>
    <row r="51" spans="1:21" ht="16.5" customHeight="1" x14ac:dyDescent="0.25">
      <c r="A51" s="380" t="s">
        <v>543</v>
      </c>
      <c r="B51" s="385"/>
      <c r="C51" s="1004"/>
      <c r="D51" s="644"/>
      <c r="E51" s="644"/>
      <c r="F51" s="645"/>
      <c r="G51" s="385"/>
      <c r="H51" s="1003"/>
      <c r="I51" s="651"/>
      <c r="J51" s="651"/>
      <c r="K51" s="652"/>
      <c r="L51" s="393"/>
      <c r="M51" s="111"/>
      <c r="N51" s="111"/>
      <c r="O51" s="111"/>
      <c r="P51" s="304">
        <f t="shared" si="17"/>
        <v>0</v>
      </c>
      <c r="Q51" s="304">
        <f t="shared" si="18"/>
        <v>0</v>
      </c>
      <c r="R51" s="304">
        <f t="shared" si="19"/>
        <v>0</v>
      </c>
      <c r="S51" s="304">
        <f t="shared" si="20"/>
        <v>0</v>
      </c>
      <c r="T51" s="304">
        <f t="shared" si="21"/>
        <v>0</v>
      </c>
      <c r="U51" s="304">
        <f t="shared" si="22"/>
        <v>0</v>
      </c>
    </row>
    <row r="52" spans="1:21" ht="16.5" customHeight="1" x14ac:dyDescent="0.25">
      <c r="A52" s="381" t="s">
        <v>544</v>
      </c>
      <c r="B52" s="385"/>
      <c r="C52" s="1004">
        <v>0.35</v>
      </c>
      <c r="D52" s="644">
        <v>10.5</v>
      </c>
      <c r="E52" s="644">
        <v>0</v>
      </c>
      <c r="F52" s="645">
        <v>28</v>
      </c>
      <c r="G52" s="385"/>
      <c r="H52" s="1003">
        <v>0.35</v>
      </c>
      <c r="I52" s="651">
        <v>10.5</v>
      </c>
      <c r="J52" s="651">
        <v>0</v>
      </c>
      <c r="K52" s="652">
        <v>28</v>
      </c>
      <c r="L52" s="393"/>
      <c r="M52" s="111"/>
      <c r="N52" s="111"/>
      <c r="O52" s="111"/>
      <c r="P52" s="304">
        <f t="shared" si="17"/>
        <v>0</v>
      </c>
      <c r="Q52" s="304">
        <f t="shared" si="18"/>
        <v>0</v>
      </c>
      <c r="R52" s="304">
        <f t="shared" si="19"/>
        <v>0</v>
      </c>
      <c r="S52" s="304">
        <f t="shared" si="20"/>
        <v>0</v>
      </c>
      <c r="T52" s="304">
        <f t="shared" si="21"/>
        <v>0</v>
      </c>
      <c r="U52" s="304">
        <f t="shared" si="22"/>
        <v>0</v>
      </c>
    </row>
    <row r="53" spans="1:21" ht="16.5" customHeight="1" x14ac:dyDescent="0.25">
      <c r="A53" s="381" t="s">
        <v>545</v>
      </c>
      <c r="B53" s="385"/>
      <c r="C53" s="1004">
        <v>0.05</v>
      </c>
      <c r="D53" s="649">
        <v>0.5</v>
      </c>
      <c r="E53" s="644">
        <v>0</v>
      </c>
      <c r="F53" s="650">
        <v>1</v>
      </c>
      <c r="G53" s="385"/>
      <c r="H53" s="1003">
        <v>0.05</v>
      </c>
      <c r="I53" s="664">
        <v>0.5</v>
      </c>
      <c r="J53" s="651">
        <v>0</v>
      </c>
      <c r="K53" s="665">
        <v>1</v>
      </c>
      <c r="L53" s="393"/>
      <c r="M53" s="111"/>
      <c r="N53" s="111"/>
      <c r="O53" s="111"/>
      <c r="P53" s="304">
        <f t="shared" si="17"/>
        <v>0</v>
      </c>
      <c r="Q53" s="304">
        <f t="shared" si="18"/>
        <v>0</v>
      </c>
      <c r="R53" s="304">
        <f t="shared" si="19"/>
        <v>0</v>
      </c>
      <c r="S53" s="304">
        <f t="shared" si="20"/>
        <v>0</v>
      </c>
      <c r="T53" s="304">
        <f t="shared" si="21"/>
        <v>0</v>
      </c>
      <c r="U53" s="304">
        <f t="shared" si="22"/>
        <v>0</v>
      </c>
    </row>
    <row r="54" spans="1:21" ht="16.5" customHeight="1" x14ac:dyDescent="0.25">
      <c r="A54" s="379" t="s">
        <v>104</v>
      </c>
      <c r="B54" s="386">
        <f>SUM(B44:B53)</f>
        <v>0</v>
      </c>
      <c r="C54" s="646"/>
      <c r="D54" s="647"/>
      <c r="E54" s="647"/>
      <c r="F54" s="648"/>
      <c r="G54" s="386">
        <f>SUM(G44:G53)</f>
        <v>0</v>
      </c>
      <c r="H54" s="661"/>
      <c r="I54" s="662"/>
      <c r="J54" s="662"/>
      <c r="K54" s="663"/>
      <c r="L54" s="391"/>
      <c r="M54" s="114"/>
      <c r="N54" s="114"/>
      <c r="O54" s="114"/>
      <c r="P54" s="305">
        <f>SUM(P44:P53)</f>
        <v>0</v>
      </c>
      <c r="Q54" s="305">
        <f t="shared" ref="Q54:U54" si="23">SUM(Q44:Q53)</f>
        <v>0</v>
      </c>
      <c r="R54" s="305">
        <f t="shared" si="23"/>
        <v>0</v>
      </c>
      <c r="S54" s="305">
        <f t="shared" si="23"/>
        <v>0</v>
      </c>
      <c r="T54" s="305">
        <f t="shared" si="23"/>
        <v>0</v>
      </c>
      <c r="U54" s="305">
        <f t="shared" si="23"/>
        <v>0</v>
      </c>
    </row>
    <row r="55" spans="1:21" ht="30" customHeight="1" x14ac:dyDescent="0.25">
      <c r="A55" s="681" t="s">
        <v>619</v>
      </c>
      <c r="B55" s="679"/>
      <c r="C55" s="818" t="s">
        <v>621</v>
      </c>
      <c r="D55" s="818"/>
      <c r="E55" s="818"/>
      <c r="F55" s="819"/>
      <c r="G55" s="680"/>
      <c r="H55" s="818" t="s">
        <v>621</v>
      </c>
      <c r="I55" s="818"/>
      <c r="J55" s="818"/>
      <c r="K55" s="819"/>
      <c r="L55" s="816"/>
      <c r="M55" s="817"/>
      <c r="N55" s="817"/>
      <c r="O55" s="817"/>
      <c r="P55" s="677"/>
      <c r="Q55" s="677"/>
      <c r="R55" s="677"/>
      <c r="S55" s="677"/>
      <c r="T55" s="677"/>
      <c r="U55" s="677"/>
    </row>
    <row r="56" spans="1:21" ht="16.5" customHeight="1" x14ac:dyDescent="0.25">
      <c r="A56" s="382"/>
      <c r="B56" s="385"/>
      <c r="C56" s="1005"/>
      <c r="D56" s="651"/>
      <c r="E56" s="651"/>
      <c r="F56" s="652"/>
      <c r="G56" s="385"/>
      <c r="H56" s="1003"/>
      <c r="I56" s="651"/>
      <c r="J56" s="651"/>
      <c r="K56" s="652"/>
      <c r="L56" s="393"/>
      <c r="M56" s="111"/>
      <c r="N56" s="111"/>
      <c r="O56" s="111"/>
      <c r="P56" s="304">
        <f t="shared" ref="P56" si="24">IF(D56=0,$B56*M56/1000,$B56*D56/1000)</f>
        <v>0</v>
      </c>
      <c r="Q56" s="304">
        <f t="shared" ref="Q56" si="25">IF(E56=0,$B56*N56/1000,$B56*E56/1000)</f>
        <v>0</v>
      </c>
      <c r="R56" s="304">
        <f t="shared" ref="R56" si="26">IF(F56=0,$B56*O56/1000,$B56*F56/1000)</f>
        <v>0</v>
      </c>
      <c r="S56" s="304">
        <f t="shared" ref="S56" si="27">IF(I56=0,$G56*M56/1000,$G56*I56/1000)</f>
        <v>0</v>
      </c>
      <c r="T56" s="304">
        <f t="shared" ref="T56" si="28">IF(J56=0,$G56*N56/1000,$G56*J56/1000)</f>
        <v>0</v>
      </c>
      <c r="U56" s="304">
        <f t="shared" ref="U56" si="29">IF(K56=0,$G56*O56/1000,$G56*K56/1000)</f>
        <v>0</v>
      </c>
    </row>
    <row r="57" spans="1:21" ht="16.5" customHeight="1" x14ac:dyDescent="0.25">
      <c r="A57" s="382"/>
      <c r="B57" s="385"/>
      <c r="C57" s="1004"/>
      <c r="D57" s="651"/>
      <c r="E57" s="651"/>
      <c r="F57" s="652"/>
      <c r="G57" s="385"/>
      <c r="H57" s="1003"/>
      <c r="I57" s="651"/>
      <c r="J57" s="651"/>
      <c r="K57" s="652"/>
      <c r="L57" s="393"/>
      <c r="M57" s="111"/>
      <c r="N57" s="111"/>
      <c r="O57" s="111"/>
      <c r="P57" s="304">
        <f t="shared" ref="P57:P59" si="30">IF(D57=0,$B57*M57/1000,$B57*D57/1000)</f>
        <v>0</v>
      </c>
      <c r="Q57" s="304">
        <f t="shared" ref="Q57:Q59" si="31">IF(E57=0,$B57*N57/1000,$B57*E57/1000)</f>
        <v>0</v>
      </c>
      <c r="R57" s="304">
        <f t="shared" ref="R57:R59" si="32">IF(F57=0,$B57*O57/1000,$B57*F57/1000)</f>
        <v>0</v>
      </c>
      <c r="S57" s="304">
        <f t="shared" ref="S57:S59" si="33">IF(I57=0,$G57*M57/1000,$G57*I57/1000)</f>
        <v>0</v>
      </c>
      <c r="T57" s="304">
        <f t="shared" ref="T57:T59" si="34">IF(J57=0,$G57*N57/1000,$G57*J57/1000)</f>
        <v>0</v>
      </c>
      <c r="U57" s="304">
        <f t="shared" ref="U57:U59" si="35">IF(K57=0,$G57*O57/1000,$G57*K57/1000)</f>
        <v>0</v>
      </c>
    </row>
    <row r="58" spans="1:21" ht="16.5" customHeight="1" x14ac:dyDescent="0.25">
      <c r="A58" s="382"/>
      <c r="B58" s="385"/>
      <c r="C58" s="1004"/>
      <c r="D58" s="651"/>
      <c r="E58" s="651"/>
      <c r="F58" s="652"/>
      <c r="G58" s="385"/>
      <c r="H58" s="1003"/>
      <c r="I58" s="651"/>
      <c r="J58" s="651"/>
      <c r="K58" s="652"/>
      <c r="L58" s="393"/>
      <c r="M58" s="111"/>
      <c r="N58" s="111"/>
      <c r="O58" s="111"/>
      <c r="P58" s="304">
        <f t="shared" si="30"/>
        <v>0</v>
      </c>
      <c r="Q58" s="304">
        <f t="shared" si="31"/>
        <v>0</v>
      </c>
      <c r="R58" s="304">
        <f t="shared" si="32"/>
        <v>0</v>
      </c>
      <c r="S58" s="304">
        <f t="shared" si="33"/>
        <v>0</v>
      </c>
      <c r="T58" s="304">
        <f t="shared" si="34"/>
        <v>0</v>
      </c>
      <c r="U58" s="304">
        <f t="shared" si="35"/>
        <v>0</v>
      </c>
    </row>
    <row r="59" spans="1:21" ht="16.5" customHeight="1" x14ac:dyDescent="0.25">
      <c r="A59" s="382"/>
      <c r="B59" s="385"/>
      <c r="C59" s="1004"/>
      <c r="D59" s="651"/>
      <c r="E59" s="651"/>
      <c r="F59" s="652"/>
      <c r="G59" s="385"/>
      <c r="H59" s="1003"/>
      <c r="I59" s="651"/>
      <c r="J59" s="651"/>
      <c r="K59" s="652"/>
      <c r="L59" s="393"/>
      <c r="M59" s="111"/>
      <c r="N59" s="111"/>
      <c r="O59" s="111"/>
      <c r="P59" s="304">
        <f t="shared" si="30"/>
        <v>0</v>
      </c>
      <c r="Q59" s="304">
        <f t="shared" si="31"/>
        <v>0</v>
      </c>
      <c r="R59" s="304">
        <f t="shared" si="32"/>
        <v>0</v>
      </c>
      <c r="S59" s="304">
        <f t="shared" si="33"/>
        <v>0</v>
      </c>
      <c r="T59" s="304">
        <f t="shared" si="34"/>
        <v>0</v>
      </c>
      <c r="U59" s="304">
        <f t="shared" si="35"/>
        <v>0</v>
      </c>
    </row>
    <row r="60" spans="1:21" ht="16.5" customHeight="1" x14ac:dyDescent="0.25">
      <c r="A60" s="379" t="s">
        <v>103</v>
      </c>
      <c r="B60" s="386">
        <f>SUM(B56:B59)</f>
        <v>0</v>
      </c>
      <c r="C60" s="646"/>
      <c r="D60" s="647"/>
      <c r="E60" s="647"/>
      <c r="F60" s="648"/>
      <c r="G60" s="386">
        <f>SUM(G56:G59)</f>
        <v>0</v>
      </c>
      <c r="H60" s="661"/>
      <c r="I60" s="662"/>
      <c r="J60" s="662"/>
      <c r="K60" s="663"/>
      <c r="L60" s="391"/>
      <c r="M60" s="114"/>
      <c r="N60" s="114"/>
      <c r="O60" s="114"/>
      <c r="P60" s="305">
        <f t="shared" ref="P60:U60" si="36">SUM(P56:P59)</f>
        <v>0</v>
      </c>
      <c r="Q60" s="305">
        <f t="shared" si="36"/>
        <v>0</v>
      </c>
      <c r="R60" s="305">
        <f t="shared" si="36"/>
        <v>0</v>
      </c>
      <c r="S60" s="305">
        <f t="shared" si="36"/>
        <v>0</v>
      </c>
      <c r="T60" s="305">
        <f t="shared" si="36"/>
        <v>0</v>
      </c>
      <c r="U60" s="305">
        <f t="shared" si="36"/>
        <v>0</v>
      </c>
    </row>
    <row r="61" spans="1:21" ht="30" customHeight="1" x14ac:dyDescent="0.25">
      <c r="A61" s="681" t="s">
        <v>620</v>
      </c>
      <c r="B61" s="679"/>
      <c r="C61" s="818" t="s">
        <v>621</v>
      </c>
      <c r="D61" s="818"/>
      <c r="E61" s="818"/>
      <c r="F61" s="819"/>
      <c r="G61" s="680"/>
      <c r="H61" s="818" t="s">
        <v>621</v>
      </c>
      <c r="I61" s="818"/>
      <c r="J61" s="818"/>
      <c r="K61" s="819"/>
      <c r="L61" s="816"/>
      <c r="M61" s="817"/>
      <c r="N61" s="817"/>
      <c r="O61" s="817"/>
      <c r="P61" s="677"/>
      <c r="Q61" s="677"/>
      <c r="R61" s="677"/>
      <c r="S61" s="677"/>
      <c r="T61" s="677"/>
      <c r="U61" s="677"/>
    </row>
    <row r="62" spans="1:21" ht="16.5" customHeight="1" x14ac:dyDescent="0.25">
      <c r="A62" s="381" t="s">
        <v>546</v>
      </c>
      <c r="B62" s="385"/>
      <c r="C62" s="1004">
        <v>1</v>
      </c>
      <c r="D62" s="644">
        <v>37</v>
      </c>
      <c r="E62" s="644">
        <v>50</v>
      </c>
      <c r="F62" s="645">
        <v>7</v>
      </c>
      <c r="G62" s="385"/>
      <c r="H62" s="1003">
        <v>1</v>
      </c>
      <c r="I62" s="651">
        <v>37</v>
      </c>
      <c r="J62" s="651">
        <v>50</v>
      </c>
      <c r="K62" s="652">
        <v>7</v>
      </c>
      <c r="L62" s="393"/>
      <c r="M62" s="111"/>
      <c r="N62" s="111"/>
      <c r="O62" s="111"/>
      <c r="P62" s="304">
        <f t="shared" ref="P62" si="37">IF(D62=0,$B62*M62/1000,$B62*D62/1000)</f>
        <v>0</v>
      </c>
      <c r="Q62" s="304">
        <f t="shared" ref="Q62" si="38">IF(E62=0,$B62*N62/1000,$B62*E62/1000)</f>
        <v>0</v>
      </c>
      <c r="R62" s="304">
        <f t="shared" ref="R62" si="39">IF(F62=0,$B62*O62/1000,$B62*F62/1000)</f>
        <v>0</v>
      </c>
      <c r="S62" s="304">
        <f t="shared" ref="S62" si="40">IF(I62=0,$G62*M62/1000,$G62*I62/1000)</f>
        <v>0</v>
      </c>
      <c r="T62" s="304">
        <f t="shared" ref="T62" si="41">IF(J62=0,$G62*N62/1000,$G62*J62/1000)</f>
        <v>0</v>
      </c>
      <c r="U62" s="304">
        <f t="shared" ref="U62" si="42">IF(K62=0,$G62*O62/1000,$G62*K62/1000)</f>
        <v>0</v>
      </c>
    </row>
    <row r="63" spans="1:21" ht="16.5" customHeight="1" x14ac:dyDescent="0.25">
      <c r="A63" s="383"/>
      <c r="B63" s="385"/>
      <c r="C63" s="1004">
        <v>1</v>
      </c>
      <c r="D63" s="651"/>
      <c r="E63" s="651"/>
      <c r="F63" s="652"/>
      <c r="G63" s="385"/>
      <c r="H63" s="1003">
        <v>1</v>
      </c>
      <c r="I63" s="651"/>
      <c r="J63" s="651"/>
      <c r="K63" s="652"/>
      <c r="L63" s="393"/>
      <c r="M63" s="111"/>
      <c r="N63" s="111"/>
      <c r="O63" s="111"/>
      <c r="P63" s="304">
        <f t="shared" ref="P63:P64" si="43">IF(D63=0,$B63*M63/1000,$B63*D63/1000)</f>
        <v>0</v>
      </c>
      <c r="Q63" s="304">
        <f t="shared" ref="Q63:Q64" si="44">IF(E63=0,$B63*N63/1000,$B63*E63/1000)</f>
        <v>0</v>
      </c>
      <c r="R63" s="304">
        <f t="shared" ref="R63:R64" si="45">IF(F63=0,$B63*O63/1000,$B63*F63/1000)</f>
        <v>0</v>
      </c>
      <c r="S63" s="304">
        <f t="shared" ref="S63:S64" si="46">IF(I63=0,$G63*M63/1000,$G63*I63/1000)</f>
        <v>0</v>
      </c>
      <c r="T63" s="304">
        <f t="shared" ref="T63:T64" si="47">IF(J63=0,$G63*N63/1000,$G63*J63/1000)</f>
        <v>0</v>
      </c>
      <c r="U63" s="304">
        <f t="shared" ref="U63:U64" si="48">IF(K63=0,$G63*O63/1000,$G63*K63/1000)</f>
        <v>0</v>
      </c>
    </row>
    <row r="64" spans="1:21" ht="16.5" customHeight="1" x14ac:dyDescent="0.25">
      <c r="A64" s="383"/>
      <c r="B64" s="385"/>
      <c r="C64" s="1004">
        <v>1</v>
      </c>
      <c r="D64" s="651"/>
      <c r="E64" s="651"/>
      <c r="F64" s="652"/>
      <c r="G64" s="385"/>
      <c r="H64" s="1003">
        <v>1</v>
      </c>
      <c r="I64" s="651"/>
      <c r="J64" s="651"/>
      <c r="K64" s="652"/>
      <c r="L64" s="393"/>
      <c r="M64" s="111"/>
      <c r="N64" s="111"/>
      <c r="O64" s="111"/>
      <c r="P64" s="304">
        <f t="shared" si="43"/>
        <v>0</v>
      </c>
      <c r="Q64" s="304">
        <f t="shared" si="44"/>
        <v>0</v>
      </c>
      <c r="R64" s="304">
        <f t="shared" si="45"/>
        <v>0</v>
      </c>
      <c r="S64" s="304">
        <f t="shared" si="46"/>
        <v>0</v>
      </c>
      <c r="T64" s="304">
        <f t="shared" si="47"/>
        <v>0</v>
      </c>
      <c r="U64" s="304">
        <f t="shared" si="48"/>
        <v>0</v>
      </c>
    </row>
    <row r="65" spans="1:21" ht="16.5" customHeight="1" thickBot="1" x14ac:dyDescent="0.3">
      <c r="A65" s="379" t="s">
        <v>102</v>
      </c>
      <c r="B65" s="387">
        <f>SUM(B62:B64)</f>
        <v>0</v>
      </c>
      <c r="C65" s="653"/>
      <c r="D65" s="654"/>
      <c r="E65" s="654"/>
      <c r="F65" s="655"/>
      <c r="G65" s="387">
        <f>SUM(G62:G64)</f>
        <v>0</v>
      </c>
      <c r="H65" s="666"/>
      <c r="I65" s="667"/>
      <c r="J65" s="667"/>
      <c r="K65" s="668"/>
      <c r="L65" s="394"/>
      <c r="M65" s="115"/>
      <c r="N65" s="115"/>
      <c r="O65" s="115"/>
      <c r="P65" s="305">
        <f t="shared" ref="P65:U65" si="49">SUM(P62:P64)</f>
        <v>0</v>
      </c>
      <c r="Q65" s="305">
        <f t="shared" si="49"/>
        <v>0</v>
      </c>
      <c r="R65" s="305">
        <f t="shared" si="49"/>
        <v>0</v>
      </c>
      <c r="S65" s="305">
        <f t="shared" si="49"/>
        <v>0</v>
      </c>
      <c r="T65" s="305">
        <f t="shared" si="49"/>
        <v>0</v>
      </c>
      <c r="U65" s="305">
        <f t="shared" si="49"/>
        <v>0</v>
      </c>
    </row>
    <row r="66" spans="1:21" ht="16.5" customHeight="1" x14ac:dyDescent="0.25">
      <c r="A66" s="396"/>
      <c r="B66" s="400"/>
      <c r="C66" s="397"/>
      <c r="D66" s="398"/>
      <c r="E66" s="398"/>
      <c r="F66" s="398"/>
      <c r="G66" s="400"/>
      <c r="H66" s="669"/>
      <c r="I66" s="670"/>
      <c r="J66" s="670"/>
      <c r="K66" s="670"/>
      <c r="L66" s="397"/>
      <c r="M66" s="398"/>
      <c r="N66" s="398"/>
      <c r="O66" s="398"/>
      <c r="P66" s="399"/>
      <c r="Q66" s="399"/>
      <c r="R66" s="399"/>
      <c r="S66" s="399"/>
      <c r="T66" s="399"/>
      <c r="U66" s="399"/>
    </row>
    <row r="67" spans="1:21" ht="16.5" customHeight="1" x14ac:dyDescent="0.25">
      <c r="A67" s="396"/>
      <c r="B67" s="400"/>
      <c r="C67" s="397"/>
      <c r="D67" s="398"/>
      <c r="E67" s="398"/>
      <c r="F67" s="398"/>
      <c r="G67" s="400"/>
      <c r="H67" s="669"/>
      <c r="I67" s="670"/>
      <c r="J67" s="670"/>
      <c r="K67" s="670"/>
      <c r="L67" s="397"/>
      <c r="M67" s="398"/>
      <c r="N67" s="398"/>
      <c r="O67" s="398"/>
      <c r="P67" s="399"/>
      <c r="Q67" s="399"/>
      <c r="R67" s="399"/>
      <c r="S67" s="399"/>
      <c r="T67" s="399"/>
      <c r="U67" s="399"/>
    </row>
    <row r="68" spans="1:21" ht="16.5" customHeight="1" x14ac:dyDescent="0.25">
      <c r="A68" s="396"/>
      <c r="B68" s="400"/>
      <c r="C68" s="397"/>
      <c r="D68" s="398"/>
      <c r="E68" s="398"/>
      <c r="F68" s="398"/>
      <c r="G68" s="400"/>
      <c r="H68" s="669"/>
      <c r="I68" s="670"/>
      <c r="J68" s="670"/>
      <c r="K68" s="670"/>
      <c r="L68" s="397"/>
      <c r="M68" s="398"/>
      <c r="N68" s="398"/>
      <c r="O68" s="398"/>
      <c r="P68" s="399"/>
      <c r="Q68" s="399"/>
      <c r="R68" s="399"/>
      <c r="S68" s="399"/>
      <c r="T68" s="399"/>
      <c r="U68" s="399"/>
    </row>
    <row r="69" spans="1:21" ht="16.5" customHeight="1" x14ac:dyDescent="0.3">
      <c r="A69" s="402" t="s">
        <v>608</v>
      </c>
      <c r="B69" s="400"/>
      <c r="C69" s="397"/>
      <c r="D69" s="398"/>
      <c r="E69" s="398"/>
      <c r="F69" s="398"/>
      <c r="G69" s="400"/>
      <c r="H69" s="669"/>
      <c r="I69" s="670"/>
      <c r="J69" s="670"/>
      <c r="K69" s="670"/>
      <c r="L69" s="397"/>
      <c r="M69" s="398"/>
      <c r="N69" s="398"/>
      <c r="O69" s="398"/>
      <c r="P69" s="399"/>
      <c r="Q69" s="399"/>
      <c r="R69" s="399"/>
      <c r="S69" s="399"/>
      <c r="T69" s="399"/>
      <c r="U69" s="399"/>
    </row>
    <row r="70" spans="1:21" ht="33.75" customHeight="1" x14ac:dyDescent="0.25">
      <c r="B70" s="296" t="s">
        <v>513</v>
      </c>
      <c r="C70" s="656"/>
      <c r="D70" s="7"/>
      <c r="E70" s="657"/>
      <c r="F70" s="7"/>
      <c r="G70" s="372" t="s">
        <v>515</v>
      </c>
      <c r="H70" s="671"/>
      <c r="I70" s="7"/>
      <c r="J70" s="7"/>
      <c r="K70" s="7"/>
      <c r="L70" s="7"/>
      <c r="M70" s="7"/>
      <c r="N70" s="7"/>
      <c r="O70" s="7"/>
      <c r="P70" s="813" t="s">
        <v>533</v>
      </c>
      <c r="Q70" s="813"/>
      <c r="R70" s="813"/>
      <c r="S70" s="813" t="s">
        <v>534</v>
      </c>
      <c r="T70" s="813"/>
      <c r="U70" s="813"/>
    </row>
    <row r="71" spans="1:21" ht="18" x14ac:dyDescent="0.25">
      <c r="A71" s="117" t="s">
        <v>425</v>
      </c>
      <c r="B71" s="401" t="s">
        <v>457</v>
      </c>
      <c r="D71" s="7"/>
      <c r="F71" s="7"/>
      <c r="G71" s="105" t="s">
        <v>457</v>
      </c>
      <c r="H71" s="671"/>
      <c r="I71" s="7"/>
      <c r="J71" s="7"/>
      <c r="K71" s="7"/>
      <c r="L71" s="815" t="s">
        <v>425</v>
      </c>
      <c r="M71" s="815"/>
      <c r="N71" s="815"/>
      <c r="O71" s="815"/>
      <c r="P71" s="116" t="s">
        <v>1</v>
      </c>
      <c r="Q71" s="116" t="s">
        <v>31</v>
      </c>
      <c r="R71" s="116" t="s">
        <v>32</v>
      </c>
      <c r="S71" s="116" t="s">
        <v>1</v>
      </c>
      <c r="T71" s="116" t="s">
        <v>31</v>
      </c>
      <c r="U71" s="116" t="s">
        <v>32</v>
      </c>
    </row>
    <row r="72" spans="1:21" ht="15.75" x14ac:dyDescent="0.25">
      <c r="A72" s="103" t="s">
        <v>517</v>
      </c>
      <c r="B72" s="106">
        <f>B42</f>
        <v>0</v>
      </c>
      <c r="D72" s="7"/>
      <c r="G72" s="106">
        <f>G42</f>
        <v>0</v>
      </c>
      <c r="L72" s="815" t="s">
        <v>517</v>
      </c>
      <c r="M72" s="815"/>
      <c r="N72" s="815"/>
      <c r="O72" s="815"/>
      <c r="P72" s="306">
        <f t="shared" ref="P72:U72" si="50">P42</f>
        <v>0</v>
      </c>
      <c r="Q72" s="306">
        <f t="shared" si="50"/>
        <v>0</v>
      </c>
      <c r="R72" s="306">
        <f t="shared" si="50"/>
        <v>0</v>
      </c>
      <c r="S72" s="306">
        <f t="shared" si="50"/>
        <v>0</v>
      </c>
      <c r="T72" s="306">
        <f t="shared" si="50"/>
        <v>0</v>
      </c>
      <c r="U72" s="306">
        <f t="shared" si="50"/>
        <v>0</v>
      </c>
    </row>
    <row r="73" spans="1:21" ht="15.75" x14ac:dyDescent="0.25">
      <c r="A73" s="117" t="s">
        <v>108</v>
      </c>
      <c r="B73" s="106">
        <f>B54</f>
        <v>0</v>
      </c>
      <c r="D73" s="7"/>
      <c r="G73" s="106">
        <f>G54</f>
        <v>0</v>
      </c>
      <c r="L73" s="847" t="s">
        <v>108</v>
      </c>
      <c r="M73" s="847"/>
      <c r="N73" s="847"/>
      <c r="O73" s="847"/>
      <c r="P73" s="306">
        <f t="shared" ref="P73:U73" si="51">P54</f>
        <v>0</v>
      </c>
      <c r="Q73" s="306">
        <f t="shared" si="51"/>
        <v>0</v>
      </c>
      <c r="R73" s="306">
        <f t="shared" si="51"/>
        <v>0</v>
      </c>
      <c r="S73" s="306">
        <f t="shared" si="51"/>
        <v>0</v>
      </c>
      <c r="T73" s="306">
        <f t="shared" si="51"/>
        <v>0</v>
      </c>
      <c r="U73" s="306">
        <f t="shared" si="51"/>
        <v>0</v>
      </c>
    </row>
    <row r="74" spans="1:21" ht="15.75" x14ac:dyDescent="0.25">
      <c r="A74" s="117" t="s">
        <v>109</v>
      </c>
      <c r="B74" s="106">
        <f>B60</f>
        <v>0</v>
      </c>
      <c r="D74" s="7"/>
      <c r="G74" s="106">
        <f>G60</f>
        <v>0</v>
      </c>
      <c r="L74" s="847" t="s">
        <v>109</v>
      </c>
      <c r="M74" s="847"/>
      <c r="N74" s="847"/>
      <c r="O74" s="847"/>
      <c r="P74" s="306">
        <f t="shared" ref="P74:U74" si="52">P60</f>
        <v>0</v>
      </c>
      <c r="Q74" s="306">
        <f t="shared" si="52"/>
        <v>0</v>
      </c>
      <c r="R74" s="306">
        <f t="shared" si="52"/>
        <v>0</v>
      </c>
      <c r="S74" s="306">
        <f t="shared" si="52"/>
        <v>0</v>
      </c>
      <c r="T74" s="306">
        <f t="shared" si="52"/>
        <v>0</v>
      </c>
      <c r="U74" s="306">
        <f t="shared" si="52"/>
        <v>0</v>
      </c>
    </row>
    <row r="75" spans="1:21" ht="15.75" x14ac:dyDescent="0.25">
      <c r="A75" s="117" t="s">
        <v>200</v>
      </c>
      <c r="B75" s="106">
        <f>B65</f>
        <v>0</v>
      </c>
      <c r="D75" s="7"/>
      <c r="G75" s="106">
        <f>G65</f>
        <v>0</v>
      </c>
      <c r="L75" s="847" t="s">
        <v>200</v>
      </c>
      <c r="M75" s="847"/>
      <c r="N75" s="847"/>
      <c r="O75" s="847"/>
      <c r="P75" s="306">
        <f t="shared" ref="P75:U75" si="53">P65</f>
        <v>0</v>
      </c>
      <c r="Q75" s="306">
        <f t="shared" si="53"/>
        <v>0</v>
      </c>
      <c r="R75" s="306">
        <f t="shared" si="53"/>
        <v>0</v>
      </c>
      <c r="S75" s="306">
        <f t="shared" si="53"/>
        <v>0</v>
      </c>
      <c r="T75" s="306">
        <f t="shared" si="53"/>
        <v>0</v>
      </c>
      <c r="U75" s="306">
        <f t="shared" si="53"/>
        <v>0</v>
      </c>
    </row>
    <row r="76" spans="1:21" ht="15.75" x14ac:dyDescent="0.25">
      <c r="A76" s="104" t="s">
        <v>228</v>
      </c>
      <c r="B76" s="107">
        <f>SUM(B72:B75)</f>
        <v>0</v>
      </c>
      <c r="D76" s="7"/>
      <c r="G76" s="107">
        <f>SUM(G72:G75)</f>
        <v>0</v>
      </c>
      <c r="L76" s="848" t="s">
        <v>201</v>
      </c>
      <c r="M76" s="848"/>
      <c r="N76" s="848"/>
      <c r="O76" s="848"/>
      <c r="P76" s="307">
        <f t="shared" ref="P76:U76" si="54">SUM(P72:P75)</f>
        <v>0</v>
      </c>
      <c r="Q76" s="307">
        <f t="shared" si="54"/>
        <v>0</v>
      </c>
      <c r="R76" s="307">
        <f t="shared" si="54"/>
        <v>0</v>
      </c>
      <c r="S76" s="307">
        <f t="shared" si="54"/>
        <v>0</v>
      </c>
      <c r="T76" s="307">
        <f t="shared" si="54"/>
        <v>0</v>
      </c>
      <c r="U76" s="307">
        <f t="shared" si="54"/>
        <v>0</v>
      </c>
    </row>
    <row r="77" spans="1:21" ht="37.5" x14ac:dyDescent="0.25">
      <c r="A77" s="11"/>
      <c r="B77" s="295" t="s">
        <v>513</v>
      </c>
      <c r="C77" s="11"/>
      <c r="D77" s="11"/>
      <c r="E77" s="11"/>
      <c r="F77" s="11"/>
      <c r="G77" s="372" t="s">
        <v>515</v>
      </c>
      <c r="H77" s="11"/>
      <c r="I77" s="11"/>
      <c r="J77" s="11"/>
      <c r="K77" s="11"/>
      <c r="L77" s="11"/>
      <c r="M77" s="11"/>
      <c r="N77" s="11"/>
      <c r="O77" s="11"/>
    </row>
    <row r="78" spans="1:21" x14ac:dyDescent="0.25">
      <c r="A78" s="117" t="s">
        <v>426</v>
      </c>
      <c r="B78" s="105" t="s">
        <v>457</v>
      </c>
      <c r="G78" s="105" t="s">
        <v>457</v>
      </c>
    </row>
    <row r="79" spans="1:21" x14ac:dyDescent="0.25">
      <c r="A79" s="175" t="s">
        <v>301</v>
      </c>
      <c r="B79" s="106">
        <f>SUM(B6:B19)-B15</f>
        <v>0</v>
      </c>
      <c r="G79" s="106">
        <f>SUM(G6:G19)-G15</f>
        <v>0</v>
      </c>
    </row>
    <row r="80" spans="1:21" x14ac:dyDescent="0.25">
      <c r="A80" s="175" t="s">
        <v>302</v>
      </c>
      <c r="B80" s="106">
        <f>B47</f>
        <v>0</v>
      </c>
      <c r="G80" s="106">
        <f>G47</f>
        <v>0</v>
      </c>
    </row>
    <row r="81" spans="1:7" x14ac:dyDescent="0.25">
      <c r="A81" s="175" t="s">
        <v>303</v>
      </c>
      <c r="B81" s="106">
        <f>B44+B48</f>
        <v>0</v>
      </c>
      <c r="G81" s="106">
        <f>G44+G48</f>
        <v>0</v>
      </c>
    </row>
    <row r="82" spans="1:7" x14ac:dyDescent="0.25">
      <c r="A82" s="176" t="s">
        <v>304</v>
      </c>
      <c r="B82" s="106"/>
      <c r="G82" s="106"/>
    </row>
    <row r="83" spans="1:7" x14ac:dyDescent="0.25">
      <c r="A83" s="175" t="s">
        <v>392</v>
      </c>
      <c r="B83" s="106">
        <f>B62+B63+B64</f>
        <v>0</v>
      </c>
      <c r="G83" s="106">
        <f>G62+G63+G64</f>
        <v>0</v>
      </c>
    </row>
    <row r="84" spans="1:7" x14ac:dyDescent="0.25">
      <c r="A84" s="175" t="s">
        <v>306</v>
      </c>
      <c r="B84" s="106">
        <f>SUM(B20:B23)</f>
        <v>0</v>
      </c>
      <c r="G84" s="106">
        <f>SUM(G20:G23)</f>
        <v>0</v>
      </c>
    </row>
    <row r="85" spans="1:7" x14ac:dyDescent="0.25">
      <c r="A85" s="175" t="s">
        <v>94</v>
      </c>
      <c r="B85" s="106">
        <f>B24</f>
        <v>0</v>
      </c>
      <c r="G85" s="106">
        <f>G24</f>
        <v>0</v>
      </c>
    </row>
    <row r="86" spans="1:7" x14ac:dyDescent="0.25">
      <c r="A86" s="175" t="s">
        <v>307</v>
      </c>
      <c r="B86" s="106">
        <f>SUM(B25:B28)</f>
        <v>0</v>
      </c>
      <c r="G86" s="106">
        <f>SUM(G25:G28)</f>
        <v>0</v>
      </c>
    </row>
    <row r="87" spans="1:7" x14ac:dyDescent="0.25">
      <c r="A87" s="175" t="s">
        <v>96</v>
      </c>
      <c r="B87" s="106">
        <f>B29</f>
        <v>0</v>
      </c>
      <c r="G87" s="106">
        <f>G29</f>
        <v>0</v>
      </c>
    </row>
    <row r="88" spans="1:7" x14ac:dyDescent="0.25">
      <c r="A88" s="175" t="s">
        <v>308</v>
      </c>
      <c r="B88" s="106">
        <f>B45+B49+B50+B51</f>
        <v>0</v>
      </c>
      <c r="G88" s="106">
        <f>G45+G49+G50+G51</f>
        <v>0</v>
      </c>
    </row>
    <row r="89" spans="1:7" x14ac:dyDescent="0.25">
      <c r="A89" s="175" t="s">
        <v>98</v>
      </c>
      <c r="B89" s="106">
        <f>B46</f>
        <v>0</v>
      </c>
      <c r="G89" s="106">
        <f>G46</f>
        <v>0</v>
      </c>
    </row>
    <row r="90" spans="1:7" x14ac:dyDescent="0.25">
      <c r="A90" s="175" t="s">
        <v>309</v>
      </c>
      <c r="B90" s="106">
        <f>B52</f>
        <v>0</v>
      </c>
      <c r="G90" s="106">
        <f>G52</f>
        <v>0</v>
      </c>
    </row>
    <row r="91" spans="1:7" x14ac:dyDescent="0.25">
      <c r="A91" s="175" t="s">
        <v>310</v>
      </c>
      <c r="B91" s="106">
        <f>B53</f>
        <v>0</v>
      </c>
      <c r="G91" s="106">
        <f>G53</f>
        <v>0</v>
      </c>
    </row>
    <row r="92" spans="1:7" x14ac:dyDescent="0.25">
      <c r="A92" s="175" t="s">
        <v>311</v>
      </c>
      <c r="B92" s="106">
        <f>B41</f>
        <v>0</v>
      </c>
      <c r="G92" s="106">
        <f>G41</f>
        <v>0</v>
      </c>
    </row>
    <row r="93" spans="1:7" x14ac:dyDescent="0.25">
      <c r="A93" s="175" t="s">
        <v>7</v>
      </c>
      <c r="B93" s="106">
        <f>B15</f>
        <v>0</v>
      </c>
      <c r="G93" s="106">
        <f>G15</f>
        <v>0</v>
      </c>
    </row>
    <row r="94" spans="1:7" x14ac:dyDescent="0.25">
      <c r="A94" s="175" t="s">
        <v>312</v>
      </c>
      <c r="B94" s="106">
        <f>B39+B40</f>
        <v>0</v>
      </c>
      <c r="G94" s="106">
        <f>G39+G40</f>
        <v>0</v>
      </c>
    </row>
    <row r="95" spans="1:7" x14ac:dyDescent="0.25">
      <c r="A95" s="104" t="s">
        <v>228</v>
      </c>
      <c r="B95" s="107">
        <f>SUM(B79:B94)</f>
        <v>0</v>
      </c>
      <c r="G95" s="107">
        <f>SUM(G79:G94)</f>
        <v>0</v>
      </c>
    </row>
    <row r="97" spans="1:15" x14ac:dyDescent="0.25">
      <c r="A97" s="722" t="str">
        <f>'P24'!B83</f>
        <v>Verze 4 (18. 9. 2025, www.carc.cz), kontakty: Ing. Jan Klír, CSc. (603 520 684; jan.klir@carc.cz), Ing. Lada Kozlovská (733 375 632; lada.kozlovska@carc.cz)</v>
      </c>
      <c r="B97" s="722"/>
      <c r="C97" s="722"/>
      <c r="D97" s="722"/>
      <c r="E97" s="722"/>
      <c r="F97" s="722"/>
      <c r="G97" s="722"/>
      <c r="H97" s="722"/>
      <c r="I97" s="722"/>
      <c r="J97" s="722"/>
      <c r="K97" s="722"/>
      <c r="L97" s="223"/>
      <c r="M97" s="223"/>
      <c r="N97" s="223"/>
      <c r="O97" s="223"/>
    </row>
  </sheetData>
  <sheetProtection algorithmName="SHA-512" hashValue="Yb41aWy1RSvfHZ1l/kJFENz3nnZzk8U2tw+JN1a36jDaL23mL8pJW/JqZpPO+GfKqqZmQyLp/FikP7gw41C1tw==" saltValue="fF8f3vU+Gzd5Dt23W04Pmw==" spinCount="100000" sheet="1" formatCells="0" formatColumns="0" formatRows="0" selectLockedCells="1"/>
  <mergeCells count="40">
    <mergeCell ref="A97:K97"/>
    <mergeCell ref="L73:O73"/>
    <mergeCell ref="L74:O74"/>
    <mergeCell ref="L75:O75"/>
    <mergeCell ref="L76:O76"/>
    <mergeCell ref="A2:A4"/>
    <mergeCell ref="M2:O2"/>
    <mergeCell ref="L2:L3"/>
    <mergeCell ref="M4:O4"/>
    <mergeCell ref="L72:O72"/>
    <mergeCell ref="B2:B3"/>
    <mergeCell ref="G2:G3"/>
    <mergeCell ref="H2:H3"/>
    <mergeCell ref="I2:K2"/>
    <mergeCell ref="I4:K4"/>
    <mergeCell ref="H5:K5"/>
    <mergeCell ref="H43:K43"/>
    <mergeCell ref="H55:K55"/>
    <mergeCell ref="H61:K61"/>
    <mergeCell ref="C55:F55"/>
    <mergeCell ref="C61:F61"/>
    <mergeCell ref="C43:F43"/>
    <mergeCell ref="C5:F5"/>
    <mergeCell ref="L5:O5"/>
    <mergeCell ref="D4:F4"/>
    <mergeCell ref="L1:O1"/>
    <mergeCell ref="C1:F1"/>
    <mergeCell ref="C2:C3"/>
    <mergeCell ref="D2:F2"/>
    <mergeCell ref="H1:K1"/>
    <mergeCell ref="S1:U1"/>
    <mergeCell ref="S2:U2"/>
    <mergeCell ref="P70:R70"/>
    <mergeCell ref="S70:U70"/>
    <mergeCell ref="L71:O71"/>
    <mergeCell ref="P1:R1"/>
    <mergeCell ref="P2:R2"/>
    <mergeCell ref="L43:O43"/>
    <mergeCell ref="L55:O55"/>
    <mergeCell ref="L61:O61"/>
  </mergeCells>
  <phoneticPr fontId="73" type="noConversion"/>
  <pageMargins left="0.7" right="0.7" top="0.78740157499999996" bottom="0.78740157499999996" header="0.3" footer="0.3"/>
  <pageSetup paperSize="9" orientation="portrait" verticalDpi="0" r:id="rId1"/>
  <ignoredErrors>
    <ignoredError sqref="B79 B84 B86 G79 G84 G86" formulaRange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B35B3-7F78-46BD-8F45-1E5E822B3636}">
  <sheetPr>
    <tabColor theme="8" tint="0.59999389629810485"/>
  </sheetPr>
  <dimension ref="B1:R80"/>
  <sheetViews>
    <sheetView showGridLines="0" zoomScale="90" zoomScaleNormal="90" workbookViewId="0">
      <selection activeCell="B3" sqref="B3:J3"/>
    </sheetView>
  </sheetViews>
  <sheetFormatPr defaultRowHeight="15" x14ac:dyDescent="0.25"/>
  <cols>
    <col min="1" max="1" width="2.5703125" customWidth="1"/>
    <col min="2" max="2" width="19.140625" customWidth="1"/>
    <col min="3" max="3" width="31.85546875" customWidth="1"/>
    <col min="4" max="4" width="14.7109375" customWidth="1"/>
    <col min="5" max="5" width="11.85546875" customWidth="1"/>
    <col min="6" max="6" width="14.28515625" customWidth="1"/>
    <col min="7" max="7" width="2" customWidth="1"/>
    <col min="8" max="8" width="43.85546875" customWidth="1"/>
    <col min="9" max="9" width="19" customWidth="1"/>
    <col min="10" max="10" width="10.140625" customWidth="1"/>
    <col min="11" max="11" width="8.28515625" style="21" customWidth="1"/>
    <col min="12" max="12" width="9.7109375" customWidth="1"/>
    <col min="13" max="13" width="11.85546875" customWidth="1"/>
    <col min="14" max="14" width="7.42578125" customWidth="1"/>
    <col min="15" max="15" width="12.140625" customWidth="1"/>
  </cols>
  <sheetData>
    <row r="1" spans="2:15" ht="24.75" customHeight="1" x14ac:dyDescent="0.25">
      <c r="B1" s="913" t="s">
        <v>599</v>
      </c>
      <c r="C1" s="913"/>
      <c r="D1" s="913"/>
      <c r="E1" s="913"/>
      <c r="F1" s="913"/>
      <c r="G1" s="913"/>
      <c r="H1" s="913"/>
      <c r="I1" s="913"/>
      <c r="J1" s="913"/>
      <c r="K1" s="913"/>
    </row>
    <row r="2" spans="2:15" ht="17.25" customHeight="1" x14ac:dyDescent="0.25">
      <c r="B2" s="849" t="s">
        <v>560</v>
      </c>
      <c r="C2" s="849"/>
      <c r="D2" s="849"/>
      <c r="E2" s="849"/>
      <c r="F2" s="849"/>
      <c r="G2" s="849"/>
      <c r="H2" s="849"/>
      <c r="I2" s="849"/>
      <c r="J2" s="849"/>
      <c r="K2" s="849"/>
      <c r="L2" s="172"/>
      <c r="M2" s="172"/>
      <c r="N2" s="172"/>
    </row>
    <row r="3" spans="2:15" ht="30" customHeight="1" x14ac:dyDescent="0.25">
      <c r="B3" s="903" t="s">
        <v>506</v>
      </c>
      <c r="C3" s="903"/>
      <c r="D3" s="903"/>
      <c r="E3" s="903"/>
      <c r="F3" s="903"/>
      <c r="G3" s="903"/>
      <c r="H3" s="903"/>
      <c r="I3" s="903"/>
      <c r="J3" s="903"/>
      <c r="K3" s="571"/>
      <c r="L3" s="572"/>
      <c r="M3" s="573"/>
    </row>
    <row r="4" spans="2:15" ht="17.100000000000001" customHeight="1" x14ac:dyDescent="0.25">
      <c r="B4" s="904" t="s">
        <v>474</v>
      </c>
      <c r="C4" s="904"/>
      <c r="D4" s="904"/>
      <c r="E4" s="904"/>
      <c r="F4" s="904"/>
      <c r="G4" s="99"/>
      <c r="H4" s="904" t="s">
        <v>487</v>
      </c>
      <c r="I4" s="877"/>
      <c r="J4" s="877"/>
      <c r="K4" s="574"/>
      <c r="L4" s="5"/>
      <c r="M4" s="575"/>
      <c r="N4" s="575"/>
    </row>
    <row r="5" spans="2:15" ht="17.100000000000001" customHeight="1" x14ac:dyDescent="0.25">
      <c r="B5" s="576" t="s">
        <v>468</v>
      </c>
      <c r="C5" s="933" t="str">
        <f>IF('P24'!G2=0,"",'P24'!G2)</f>
        <v/>
      </c>
      <c r="D5" s="933"/>
      <c r="E5" s="933"/>
      <c r="F5" s="933"/>
      <c r="G5" s="223"/>
      <c r="H5" s="930"/>
      <c r="I5" s="916" t="s">
        <v>491</v>
      </c>
      <c r="J5" s="916" t="s">
        <v>488</v>
      </c>
      <c r="K5" s="916"/>
      <c r="L5" s="5"/>
      <c r="M5" s="577"/>
      <c r="N5" s="577"/>
    </row>
    <row r="6" spans="2:15" ht="17.100000000000001" customHeight="1" x14ac:dyDescent="0.25">
      <c r="B6" s="576" t="s">
        <v>469</v>
      </c>
      <c r="C6" s="578" t="str">
        <f>IF('P24'!E2=0,"",'P24'!E2)</f>
        <v/>
      </c>
      <c r="D6" s="579" t="s">
        <v>346</v>
      </c>
      <c r="E6" s="850" t="str">
        <f>IF('P24'!E4=0,"",'P24'!E4)</f>
        <v/>
      </c>
      <c r="F6" s="851"/>
      <c r="G6" s="223"/>
      <c r="H6" s="931"/>
      <c r="I6" s="916"/>
      <c r="J6" s="917"/>
      <c r="K6" s="917"/>
      <c r="L6" s="5"/>
      <c r="M6" s="577"/>
    </row>
    <row r="7" spans="2:15" ht="17.100000000000001" customHeight="1" x14ac:dyDescent="0.25">
      <c r="B7" s="576" t="s">
        <v>208</v>
      </c>
      <c r="C7" s="934">
        <f>'P25'!G5</f>
        <v>2025</v>
      </c>
      <c r="D7" s="934"/>
      <c r="E7" s="934"/>
      <c r="F7" s="934"/>
      <c r="G7" s="223"/>
      <c r="H7" s="871" t="s">
        <v>507</v>
      </c>
      <c r="I7" s="905">
        <f>IF('P25'!D3=0,0,'P25'!D3)</f>
        <v>0</v>
      </c>
      <c r="J7" s="918">
        <f>'P25'!D5</f>
        <v>0</v>
      </c>
      <c r="K7" s="918"/>
      <c r="L7" s="5"/>
      <c r="M7" s="577"/>
    </row>
    <row r="8" spans="2:15" ht="17.100000000000001" customHeight="1" x14ac:dyDescent="0.25">
      <c r="B8" s="902" t="s">
        <v>499</v>
      </c>
      <c r="C8" s="902"/>
      <c r="D8" s="902"/>
      <c r="E8" s="902"/>
      <c r="F8" s="902"/>
      <c r="G8" s="223"/>
      <c r="H8" s="871"/>
      <c r="I8" s="905"/>
      <c r="J8" s="918"/>
      <c r="K8" s="918"/>
      <c r="L8" s="5"/>
      <c r="M8" s="575"/>
    </row>
    <row r="9" spans="2:15" ht="17.100000000000001" customHeight="1" x14ac:dyDescent="0.25">
      <c r="B9" s="911"/>
      <c r="C9" s="912"/>
      <c r="D9" s="855" t="s">
        <v>471</v>
      </c>
      <c r="E9" s="855"/>
      <c r="F9" s="855"/>
      <c r="G9" s="223"/>
      <c r="H9" s="871" t="s">
        <v>508</v>
      </c>
      <c r="I9" s="920">
        <f>IF('P24'!D3=0,0,'P24'!D3)</f>
        <v>0</v>
      </c>
      <c r="J9" s="919" t="s">
        <v>276</v>
      </c>
      <c r="K9" s="919"/>
      <c r="L9" s="5"/>
      <c r="M9" s="580"/>
    </row>
    <row r="10" spans="2:15" ht="17.100000000000001" customHeight="1" x14ac:dyDescent="0.25">
      <c r="B10" s="906" t="s">
        <v>211</v>
      </c>
      <c r="C10" s="907"/>
      <c r="D10" s="856">
        <f>ROUND('P24'!V80/1000,3)</f>
        <v>0</v>
      </c>
      <c r="E10" s="857"/>
      <c r="F10" s="858"/>
      <c r="G10" s="180"/>
      <c r="H10" s="871"/>
      <c r="I10" s="920"/>
      <c r="J10" s="920"/>
      <c r="K10" s="920"/>
      <c r="L10" s="5"/>
      <c r="M10" s="580"/>
    </row>
    <row r="11" spans="2:15" ht="17.100000000000001" customHeight="1" x14ac:dyDescent="0.25">
      <c r="B11" s="871" t="s">
        <v>212</v>
      </c>
      <c r="C11" s="908"/>
      <c r="D11" s="859">
        <f>ROUND('P24'!Y80/1000,3)</f>
        <v>0</v>
      </c>
      <c r="E11" s="860"/>
      <c r="F11" s="861"/>
      <c r="G11" s="581"/>
      <c r="M11" s="582"/>
    </row>
    <row r="12" spans="2:15" ht="17.100000000000001" customHeight="1" x14ac:dyDescent="0.25">
      <c r="B12" s="909" t="s">
        <v>464</v>
      </c>
      <c r="C12" s="910"/>
      <c r="D12" s="862">
        <f>D10+D11</f>
        <v>0</v>
      </c>
      <c r="E12" s="863"/>
      <c r="F12" s="864"/>
      <c r="G12" s="581"/>
      <c r="H12" s="877" t="s">
        <v>476</v>
      </c>
      <c r="I12" s="877"/>
      <c r="J12" s="877"/>
      <c r="K12" s="877"/>
      <c r="L12" s="132"/>
    </row>
    <row r="13" spans="2:15" ht="17.100000000000001" customHeight="1" x14ac:dyDescent="0.25">
      <c r="B13" s="902" t="s">
        <v>500</v>
      </c>
      <c r="C13" s="902"/>
      <c r="D13" s="902"/>
      <c r="E13" s="902"/>
      <c r="F13" s="902"/>
      <c r="G13" s="581"/>
      <c r="H13" s="866" t="s">
        <v>478</v>
      </c>
      <c r="I13" s="875"/>
      <c r="J13" s="583">
        <f>D12</f>
        <v>0</v>
      </c>
      <c r="K13" s="584" t="s">
        <v>209</v>
      </c>
      <c r="L13" s="585"/>
      <c r="M13" s="5"/>
      <c r="N13" s="5"/>
      <c r="O13" s="5"/>
    </row>
    <row r="14" spans="2:15" ht="17.100000000000001" customHeight="1" x14ac:dyDescent="0.25">
      <c r="B14" s="911"/>
      <c r="C14" s="912"/>
      <c r="D14" s="855" t="s">
        <v>472</v>
      </c>
      <c r="E14" s="855"/>
      <c r="F14" s="855"/>
      <c r="G14" s="586"/>
      <c r="H14" s="866" t="s">
        <v>504</v>
      </c>
      <c r="I14" s="875"/>
      <c r="J14" s="587" t="str">
        <f>IF(I7=0,"",IF(J13=0,20,IF(I9=0,0,ROUND(J13*1000/I9,2))))</f>
        <v/>
      </c>
      <c r="K14" s="588" t="s">
        <v>261</v>
      </c>
      <c r="L14" s="585"/>
      <c r="M14" s="5"/>
      <c r="N14" s="5"/>
      <c r="O14" s="5"/>
    </row>
    <row r="15" spans="2:15" ht="17.100000000000001" customHeight="1" x14ac:dyDescent="0.25">
      <c r="B15" s="906" t="s">
        <v>211</v>
      </c>
      <c r="C15" s="907"/>
      <c r="D15" s="856">
        <f>ROUND('P25'!U80/1000,3)</f>
        <v>0</v>
      </c>
      <c r="E15" s="857"/>
      <c r="F15" s="858"/>
      <c r="G15" s="586"/>
      <c r="H15" s="866" t="s">
        <v>466</v>
      </c>
      <c r="I15" s="875"/>
      <c r="J15" s="589" t="str">
        <f>F28</f>
        <v/>
      </c>
      <c r="K15" s="590"/>
      <c r="L15" s="312"/>
    </row>
    <row r="16" spans="2:15" ht="17.100000000000001" customHeight="1" x14ac:dyDescent="0.25">
      <c r="B16" s="871" t="s">
        <v>212</v>
      </c>
      <c r="C16" s="908"/>
      <c r="D16" s="859">
        <f>ROUND('P25'!X80/1000,3)</f>
        <v>0</v>
      </c>
      <c r="E16" s="860"/>
      <c r="F16" s="861"/>
      <c r="G16" s="586"/>
      <c r="H16" s="875" t="s">
        <v>495</v>
      </c>
      <c r="I16" s="876"/>
      <c r="J16" s="589">
        <f>I7</f>
        <v>0</v>
      </c>
      <c r="K16" s="591" t="s">
        <v>143</v>
      </c>
      <c r="L16" s="585"/>
    </row>
    <row r="17" spans="2:18" ht="17.100000000000001" customHeight="1" x14ac:dyDescent="0.25">
      <c r="B17" s="909" t="s">
        <v>464</v>
      </c>
      <c r="C17" s="910"/>
      <c r="D17" s="862">
        <f>D15+D16</f>
        <v>0</v>
      </c>
      <c r="E17" s="863"/>
      <c r="F17" s="864"/>
      <c r="G17" s="592"/>
      <c r="H17" s="890" t="s">
        <v>479</v>
      </c>
      <c r="I17" s="891"/>
      <c r="J17" s="593" t="str">
        <f>IF(I7=0,"",ROUND(J14*J15*J16/1000,3))</f>
        <v/>
      </c>
      <c r="K17" s="594" t="s">
        <v>209</v>
      </c>
      <c r="L17" s="585"/>
      <c r="M17" s="948"/>
      <c r="N17" s="948"/>
      <c r="O17" s="942"/>
      <c r="P17" s="942"/>
      <c r="Q17" s="595"/>
      <c r="R17" s="5"/>
    </row>
    <row r="18" spans="2:18" ht="17.100000000000001" customHeight="1" x14ac:dyDescent="0.25">
      <c r="B18" s="877" t="s">
        <v>475</v>
      </c>
      <c r="C18" s="877"/>
      <c r="D18" s="877"/>
      <c r="E18" s="877"/>
      <c r="F18" s="877"/>
      <c r="G18" s="581"/>
      <c r="H18" s="853" t="s">
        <v>480</v>
      </c>
      <c r="I18" s="871"/>
      <c r="J18" s="583">
        <f>E31</f>
        <v>0</v>
      </c>
      <c r="K18" s="584" t="s">
        <v>209</v>
      </c>
      <c r="L18" s="585"/>
      <c r="R18" s="5"/>
    </row>
    <row r="19" spans="2:18" ht="17.100000000000001" customHeight="1" x14ac:dyDescent="0.25">
      <c r="B19" s="878" t="s">
        <v>213</v>
      </c>
      <c r="C19" s="879"/>
      <c r="D19" s="924" t="s">
        <v>512</v>
      </c>
      <c r="E19" s="925"/>
      <c r="F19" s="917" t="s">
        <v>210</v>
      </c>
      <c r="G19" s="581"/>
      <c r="H19" s="853" t="s">
        <v>486</v>
      </c>
      <c r="I19" s="871"/>
      <c r="J19" s="593">
        <f>E33</f>
        <v>0</v>
      </c>
      <c r="K19" s="594" t="s">
        <v>209</v>
      </c>
      <c r="L19" s="585"/>
      <c r="R19" s="5"/>
    </row>
    <row r="20" spans="2:18" ht="17.100000000000001" customHeight="1" x14ac:dyDescent="0.25">
      <c r="B20" s="880"/>
      <c r="C20" s="881"/>
      <c r="D20" s="926"/>
      <c r="E20" s="927"/>
      <c r="F20" s="935"/>
      <c r="G20" s="581"/>
      <c r="H20" s="872" t="s">
        <v>481</v>
      </c>
      <c r="I20" s="873"/>
      <c r="J20" s="583" t="str">
        <f>IF(I7=0,"",J18-J17)</f>
        <v/>
      </c>
      <c r="K20" s="584" t="s">
        <v>209</v>
      </c>
      <c r="L20" s="585"/>
    </row>
    <row r="21" spans="2:18" ht="17.100000000000001" customHeight="1" thickBot="1" x14ac:dyDescent="0.3">
      <c r="B21" s="882"/>
      <c r="C21" s="883"/>
      <c r="D21" s="928"/>
      <c r="E21" s="929"/>
      <c r="F21" s="936"/>
      <c r="G21" s="596"/>
      <c r="H21" s="892" t="s">
        <v>482</v>
      </c>
      <c r="I21" s="893"/>
      <c r="J21" s="597" t="str">
        <f>IF(I7=0,"",ROUND(J20*1000/J16,2))</f>
        <v/>
      </c>
      <c r="K21" s="598" t="s">
        <v>261</v>
      </c>
      <c r="L21" s="599"/>
      <c r="M21" s="5"/>
      <c r="N21" s="5"/>
    </row>
    <row r="22" spans="2:18" ht="17.100000000000001" customHeight="1" x14ac:dyDescent="0.25">
      <c r="B22" s="906" t="s">
        <v>217</v>
      </c>
      <c r="C22" s="932"/>
      <c r="D22" s="884"/>
      <c r="E22" s="885"/>
      <c r="F22" s="600">
        <v>1.5</v>
      </c>
      <c r="G22" s="596"/>
      <c r="H22" s="894" t="s">
        <v>505</v>
      </c>
      <c r="I22" s="894"/>
      <c r="J22" s="946" t="str">
        <f>IF(I7=0,"",ROUND(J7/I7*100,2))</f>
        <v/>
      </c>
      <c r="K22" s="943" t="s">
        <v>9</v>
      </c>
      <c r="L22" s="601">
        <f>IF(J22=100,1,0)</f>
        <v>0</v>
      </c>
      <c r="N22" s="5"/>
    </row>
    <row r="23" spans="2:18" ht="17.100000000000001" customHeight="1" x14ac:dyDescent="0.25">
      <c r="B23" s="871" t="s">
        <v>218</v>
      </c>
      <c r="C23" s="901"/>
      <c r="D23" s="937"/>
      <c r="E23" s="938"/>
      <c r="F23" s="602">
        <v>1</v>
      </c>
      <c r="G23" s="596"/>
      <c r="H23" s="894"/>
      <c r="I23" s="894"/>
      <c r="J23" s="947"/>
      <c r="K23" s="944"/>
      <c r="L23" s="603"/>
    </row>
    <row r="24" spans="2:18" ht="17.100000000000001" customHeight="1" x14ac:dyDescent="0.25">
      <c r="B24" s="871" t="s">
        <v>219</v>
      </c>
      <c r="C24" s="901"/>
      <c r="D24" s="937"/>
      <c r="E24" s="938"/>
      <c r="F24" s="602">
        <v>0.5</v>
      </c>
      <c r="G24" s="596"/>
      <c r="H24" s="894" t="s">
        <v>483</v>
      </c>
      <c r="I24" s="895"/>
      <c r="J24" s="604" t="str">
        <f>IF(J18=0,"",ROUND(D33/D31*100,2))</f>
        <v/>
      </c>
      <c r="K24" s="605" t="s">
        <v>9</v>
      </c>
      <c r="L24" s="601">
        <f>IF(J24=100,1,0)</f>
        <v>0</v>
      </c>
      <c r="N24" s="5"/>
    </row>
    <row r="25" spans="2:18" ht="17.100000000000001" customHeight="1" x14ac:dyDescent="0.25">
      <c r="B25" s="871" t="s">
        <v>220</v>
      </c>
      <c r="C25" s="901"/>
      <c r="D25" s="937"/>
      <c r="E25" s="938"/>
      <c r="F25" s="602">
        <v>0</v>
      </c>
      <c r="G25" s="596"/>
      <c r="H25" s="870" t="s">
        <v>496</v>
      </c>
      <c r="I25" s="870"/>
      <c r="J25" s="914" t="str">
        <f>IF(J21="","",IF(J21&gt;10,"nesplněno",IF(J21&lt;-2,"nesplněno",IF(J21&lt;0,IF(L22+L24=0,"částečně splněno","splněno"),"splněno"))))</f>
        <v/>
      </c>
      <c r="K25" s="914"/>
      <c r="L25" s="601">
        <f>IF(J25="splněno",1,IF(J25="částečně splněno",0.5,0))</f>
        <v>0</v>
      </c>
      <c r="N25" s="5"/>
      <c r="O25" s="5"/>
    </row>
    <row r="26" spans="2:18" ht="17.100000000000001" customHeight="1" thickBot="1" x14ac:dyDescent="0.3">
      <c r="B26" s="868" t="s">
        <v>221</v>
      </c>
      <c r="C26" s="869"/>
      <c r="D26" s="939"/>
      <c r="E26" s="940"/>
      <c r="F26" s="602">
        <v>0</v>
      </c>
      <c r="G26" s="596"/>
      <c r="H26" s="923" t="s">
        <v>477</v>
      </c>
      <c r="I26" s="923"/>
      <c r="J26" s="132"/>
      <c r="K26" s="500"/>
      <c r="L26" s="606"/>
    </row>
    <row r="27" spans="2:18" ht="17.100000000000001" customHeight="1" x14ac:dyDescent="0.25">
      <c r="B27" s="866" t="s">
        <v>473</v>
      </c>
      <c r="C27" s="866"/>
      <c r="D27" s="941">
        <f>D28-SUM(D22:E26)</f>
        <v>0</v>
      </c>
      <c r="E27" s="941"/>
      <c r="F27" s="602">
        <v>1</v>
      </c>
      <c r="G27" s="596"/>
      <c r="H27" s="853" t="s">
        <v>484</v>
      </c>
      <c r="I27" s="871"/>
      <c r="J27" s="607">
        <f>D17</f>
        <v>0</v>
      </c>
      <c r="K27" s="608" t="s">
        <v>255</v>
      </c>
      <c r="L27" s="606"/>
    </row>
    <row r="28" spans="2:18" ht="17.100000000000001" customHeight="1" x14ac:dyDescent="0.25">
      <c r="B28" s="945" t="s">
        <v>501</v>
      </c>
      <c r="C28" s="945"/>
      <c r="D28" s="854">
        <f>I7</f>
        <v>0</v>
      </c>
      <c r="E28" s="854"/>
      <c r="F28" s="609" t="str">
        <f>IF(I7=0,"",ROUND(IF(D28=0,0,(D22*F22+D23*F23+D24*F24+D25*F25+D26*F26+D27*F27)/D28),2))</f>
        <v/>
      </c>
      <c r="G28" s="596"/>
      <c r="H28" s="853" t="s">
        <v>485</v>
      </c>
      <c r="I28" s="871"/>
      <c r="J28" s="610">
        <f>F35</f>
        <v>0</v>
      </c>
      <c r="K28" s="611" t="s">
        <v>255</v>
      </c>
      <c r="L28" s="603"/>
    </row>
    <row r="29" spans="2:18" ht="17.100000000000001" customHeight="1" x14ac:dyDescent="0.25">
      <c r="B29" s="874" t="s">
        <v>502</v>
      </c>
      <c r="C29" s="874"/>
      <c r="D29" s="874"/>
      <c r="E29" s="874"/>
      <c r="F29" s="874"/>
      <c r="G29" s="596"/>
      <c r="H29" s="853" t="s">
        <v>492</v>
      </c>
      <c r="I29" s="871"/>
      <c r="J29" s="607">
        <f>J28-J27</f>
        <v>0</v>
      </c>
      <c r="K29" s="608" t="s">
        <v>255</v>
      </c>
      <c r="L29" s="603"/>
    </row>
    <row r="30" spans="2:18" ht="17.100000000000001" customHeight="1" x14ac:dyDescent="0.25">
      <c r="B30" s="865"/>
      <c r="C30" s="865"/>
      <c r="D30" s="612" t="s">
        <v>503</v>
      </c>
      <c r="E30" s="613" t="s">
        <v>471</v>
      </c>
      <c r="F30" s="613" t="s">
        <v>472</v>
      </c>
      <c r="G30" s="581"/>
      <c r="H30" s="853" t="s">
        <v>493</v>
      </c>
      <c r="I30" s="871"/>
      <c r="J30" s="614">
        <f>ROUND('Z25'!I82,3)</f>
        <v>0</v>
      </c>
      <c r="K30" s="615" t="s">
        <v>255</v>
      </c>
      <c r="L30" s="606"/>
    </row>
    <row r="31" spans="2:18" ht="17.100000000000001" customHeight="1" x14ac:dyDescent="0.25">
      <c r="B31" s="866" t="s">
        <v>467</v>
      </c>
      <c r="C31" s="866"/>
      <c r="D31" s="886">
        <f>ROUND(D50,3)</f>
        <v>0</v>
      </c>
      <c r="E31" s="888">
        <f>ROUND((D31*0.436),3)</f>
        <v>0</v>
      </c>
      <c r="F31" s="888">
        <f>ROUND(F50,3)</f>
        <v>0</v>
      </c>
      <c r="G31" s="223"/>
      <c r="H31" s="872" t="s">
        <v>494</v>
      </c>
      <c r="I31" s="873"/>
      <c r="J31" s="607">
        <f>J29-J30</f>
        <v>0</v>
      </c>
      <c r="K31" s="608" t="s">
        <v>255</v>
      </c>
      <c r="L31" s="606"/>
    </row>
    <row r="32" spans="2:18" ht="17.100000000000001" customHeight="1" x14ac:dyDescent="0.25">
      <c r="B32" s="867"/>
      <c r="C32" s="867"/>
      <c r="D32" s="887"/>
      <c r="E32" s="889"/>
      <c r="F32" s="889"/>
      <c r="G32" s="617"/>
      <c r="H32" s="875" t="s">
        <v>495</v>
      </c>
      <c r="I32" s="876"/>
      <c r="J32" s="618">
        <f>I7</f>
        <v>0</v>
      </c>
      <c r="K32" s="619" t="s">
        <v>143</v>
      </c>
      <c r="L32" s="606"/>
    </row>
    <row r="33" spans="2:13" ht="17.100000000000001" customHeight="1" x14ac:dyDescent="0.25">
      <c r="B33" s="853" t="s">
        <v>490</v>
      </c>
      <c r="C33" s="853"/>
      <c r="D33" s="616">
        <f>ROUND(D51,3)</f>
        <v>0</v>
      </c>
      <c r="E33" s="616">
        <f>ROUND((D33*0.436),3)</f>
        <v>0</v>
      </c>
      <c r="F33" s="620" t="s">
        <v>276</v>
      </c>
      <c r="G33" s="617"/>
      <c r="H33" s="896" t="s">
        <v>561</v>
      </c>
      <c r="I33" s="897"/>
      <c r="J33" s="621" t="str">
        <f>IF(I7=0,"",ROUND(J31/J32*1000,2))</f>
        <v/>
      </c>
      <c r="K33" s="622" t="s">
        <v>2</v>
      </c>
      <c r="L33" s="606"/>
    </row>
    <row r="34" spans="2:13" ht="17.100000000000001" customHeight="1" x14ac:dyDescent="0.25">
      <c r="B34" s="853" t="s">
        <v>256</v>
      </c>
      <c r="C34" s="853"/>
      <c r="D34" s="853"/>
      <c r="E34" s="853"/>
      <c r="F34" s="616">
        <f>ROUND(('P25'!AQ80/1000),3)</f>
        <v>0</v>
      </c>
      <c r="G34" s="623"/>
      <c r="H34" s="898" t="s">
        <v>497</v>
      </c>
      <c r="I34" s="898"/>
      <c r="J34" s="914" t="str">
        <f>IF(I7=0,"",IF(J33&gt;60,"nesplněno","splněno"))</f>
        <v/>
      </c>
      <c r="K34" s="914"/>
      <c r="L34" s="624">
        <f>IF(J34="splněno",1,0)</f>
        <v>0</v>
      </c>
    </row>
    <row r="35" spans="2:13" ht="17.100000000000001" customHeight="1" x14ac:dyDescent="0.25">
      <c r="B35" s="852" t="s">
        <v>489</v>
      </c>
      <c r="C35" s="852"/>
      <c r="D35" s="852"/>
      <c r="E35" s="852"/>
      <c r="F35" s="625">
        <f>F31+F34</f>
        <v>0</v>
      </c>
      <c r="G35" s="623"/>
      <c r="H35" s="922" t="s">
        <v>498</v>
      </c>
      <c r="I35" s="922"/>
      <c r="J35" s="915" t="str">
        <f>IF(I7=0,"",IF(L25+L34=2,"plná dotace",IF(L25+L34=1.5,"50% dotace","bez dotace")))</f>
        <v/>
      </c>
      <c r="K35" s="915"/>
      <c r="L35" s="627"/>
      <c r="M35" s="5"/>
    </row>
    <row r="36" spans="2:13" ht="17.100000000000001" customHeight="1" x14ac:dyDescent="0.25">
      <c r="B36" s="180"/>
      <c r="C36" s="180"/>
      <c r="D36" s="180"/>
      <c r="E36" s="180"/>
      <c r="F36" s="628"/>
      <c r="G36" s="623"/>
      <c r="H36" s="921" t="s">
        <v>548</v>
      </c>
      <c r="I36" s="921"/>
      <c r="J36" s="921"/>
      <c r="K36" s="921"/>
      <c r="L36" s="921"/>
      <c r="M36" s="5"/>
    </row>
    <row r="37" spans="2:13" ht="17.100000000000001" customHeight="1" x14ac:dyDescent="0.25">
      <c r="B37" s="180"/>
      <c r="C37" s="180"/>
      <c r="D37" s="180"/>
      <c r="E37" s="180"/>
      <c r="F37" s="628"/>
      <c r="G37" s="623"/>
      <c r="H37" s="921"/>
      <c r="I37" s="921"/>
      <c r="J37" s="921"/>
      <c r="K37" s="921"/>
      <c r="L37" s="921"/>
      <c r="M37" s="5"/>
    </row>
    <row r="38" spans="2:13" ht="17.100000000000001" customHeight="1" x14ac:dyDescent="0.25">
      <c r="B38" s="180"/>
      <c r="C38" s="180"/>
      <c r="D38" s="180"/>
      <c r="E38" s="180"/>
      <c r="F38" s="628"/>
      <c r="G38" s="623"/>
      <c r="H38" s="921"/>
      <c r="I38" s="921"/>
      <c r="J38" s="921"/>
      <c r="K38" s="921"/>
      <c r="L38" s="921"/>
      <c r="M38" s="5"/>
    </row>
    <row r="39" spans="2:13" ht="17.100000000000001" customHeight="1" x14ac:dyDescent="0.25">
      <c r="B39" s="180"/>
      <c r="C39" s="180"/>
      <c r="D39" s="180"/>
      <c r="E39" s="180"/>
      <c r="F39" s="628"/>
      <c r="G39" s="623"/>
      <c r="H39" s="921"/>
      <c r="I39" s="921"/>
      <c r="J39" s="921"/>
      <c r="K39" s="921"/>
      <c r="L39" s="921"/>
      <c r="M39" s="5"/>
    </row>
    <row r="40" spans="2:13" ht="17.100000000000001" customHeight="1" x14ac:dyDescent="0.25">
      <c r="B40" s="180"/>
      <c r="C40" s="180"/>
      <c r="D40" s="180"/>
      <c r="E40" s="180"/>
      <c r="F40" s="628"/>
      <c r="G40" s="623"/>
      <c r="H40" s="921"/>
      <c r="I40" s="921"/>
      <c r="J40" s="921"/>
      <c r="K40" s="921"/>
      <c r="L40" s="921"/>
      <c r="M40" s="5"/>
    </row>
    <row r="41" spans="2:13" ht="17.100000000000001" customHeight="1" x14ac:dyDescent="0.25">
      <c r="B41" s="180"/>
      <c r="C41" s="180"/>
      <c r="D41" s="180"/>
      <c r="E41" s="180"/>
      <c r="F41" s="628"/>
      <c r="G41" s="623"/>
      <c r="H41" s="921"/>
      <c r="I41" s="921"/>
      <c r="J41" s="921"/>
      <c r="K41" s="921"/>
      <c r="L41" s="921"/>
      <c r="M41" s="5"/>
    </row>
    <row r="42" spans="2:13" ht="17.100000000000001" customHeight="1" x14ac:dyDescent="0.25">
      <c r="B42" s="180"/>
      <c r="C42" s="180"/>
      <c r="D42" s="180"/>
      <c r="E42" s="180"/>
      <c r="F42" s="628"/>
      <c r="G42" s="623"/>
      <c r="H42" s="921"/>
      <c r="I42" s="921"/>
      <c r="J42" s="921"/>
      <c r="K42" s="921"/>
      <c r="L42" s="921"/>
      <c r="M42" s="5"/>
    </row>
    <row r="43" spans="2:13" ht="17.100000000000001" customHeight="1" x14ac:dyDescent="0.25">
      <c r="B43" s="180"/>
      <c r="C43" s="180"/>
      <c r="D43" s="180"/>
      <c r="E43" s="180"/>
      <c r="F43" s="628"/>
      <c r="G43" s="623"/>
      <c r="H43" s="626"/>
      <c r="I43" s="626"/>
      <c r="J43" s="573"/>
      <c r="K43" s="573"/>
      <c r="L43" s="575"/>
      <c r="M43" s="5"/>
    </row>
    <row r="44" spans="2:13" ht="17.100000000000001" customHeight="1" x14ac:dyDescent="0.25">
      <c r="G44" s="223"/>
    </row>
    <row r="45" spans="2:13" ht="15" customHeight="1" x14ac:dyDescent="0.25">
      <c r="B45" s="899" t="s">
        <v>75</v>
      </c>
      <c r="C45" s="899"/>
      <c r="D45" s="629">
        <f>IF('M24-26ev'!D7=0,'M24-26'!K75,'M24-26ev'!D7)</f>
        <v>0</v>
      </c>
      <c r="E45" s="630"/>
      <c r="F45" s="630">
        <f>IF('M24-26ev'!D6=0,'M24-26'!J75,'M24-26ev'!D6)</f>
        <v>0</v>
      </c>
      <c r="G45" s="631"/>
      <c r="M45" s="5"/>
    </row>
    <row r="46" spans="2:13" ht="15" customHeight="1" x14ac:dyDescent="0.25">
      <c r="B46" s="899" t="s">
        <v>547</v>
      </c>
      <c r="C46" s="899"/>
      <c r="D46" s="629">
        <f>'O24-26'!Q72</f>
        <v>0</v>
      </c>
      <c r="E46" s="630"/>
      <c r="F46" s="630">
        <f>'O24-26'!P72</f>
        <v>0</v>
      </c>
      <c r="G46" s="5"/>
      <c r="M46" s="5"/>
    </row>
    <row r="47" spans="2:13" ht="15" customHeight="1" x14ac:dyDescent="0.25">
      <c r="B47" s="899" t="s">
        <v>214</v>
      </c>
      <c r="C47" s="899"/>
      <c r="D47" s="629">
        <f>'O24-26'!Q73</f>
        <v>0</v>
      </c>
      <c r="E47" s="630"/>
      <c r="F47" s="630">
        <f>'O24-26'!P73</f>
        <v>0</v>
      </c>
      <c r="G47" s="5"/>
      <c r="M47" s="5"/>
    </row>
    <row r="48" spans="2:13" ht="15" customHeight="1" x14ac:dyDescent="0.25">
      <c r="B48" s="899" t="s">
        <v>215</v>
      </c>
      <c r="C48" s="899"/>
      <c r="D48" s="629">
        <f>'O24-26'!Q74</f>
        <v>0</v>
      </c>
      <c r="E48" s="630"/>
      <c r="F48" s="630">
        <f>'O24-26'!P74</f>
        <v>0</v>
      </c>
      <c r="G48" s="5"/>
      <c r="M48" s="5"/>
    </row>
    <row r="49" spans="2:15" ht="15" customHeight="1" x14ac:dyDescent="0.25">
      <c r="B49" s="899" t="s">
        <v>216</v>
      </c>
      <c r="C49" s="899"/>
      <c r="D49" s="629">
        <f>'O24-26'!Q75</f>
        <v>0</v>
      </c>
      <c r="E49" s="630"/>
      <c r="F49" s="630">
        <f>'O24-26'!P75</f>
        <v>0</v>
      </c>
      <c r="G49" s="632"/>
      <c r="M49" s="5"/>
    </row>
    <row r="50" spans="2:15" ht="15" customHeight="1" x14ac:dyDescent="0.25">
      <c r="B50" s="900" t="s">
        <v>175</v>
      </c>
      <c r="C50" s="900"/>
      <c r="D50" s="633">
        <f>SUM(D45:D49)</f>
        <v>0</v>
      </c>
      <c r="E50" s="634"/>
      <c r="F50" s="634">
        <f t="shared" ref="F50" si="0">SUM(F45:F49)</f>
        <v>0</v>
      </c>
      <c r="G50" s="5"/>
      <c r="M50" s="5"/>
    </row>
    <row r="51" spans="2:15" ht="15" customHeight="1" x14ac:dyDescent="0.25">
      <c r="B51" s="900" t="s">
        <v>465</v>
      </c>
      <c r="C51" s="900"/>
      <c r="D51" s="633">
        <f>D50-D45</f>
        <v>0</v>
      </c>
      <c r="E51" s="634"/>
      <c r="F51" s="634" t="s">
        <v>276</v>
      </c>
      <c r="G51" s="5"/>
      <c r="M51" s="5"/>
      <c r="N51" s="5"/>
      <c r="O51" s="5"/>
    </row>
    <row r="52" spans="2:15" ht="17.100000000000001" customHeight="1" x14ac:dyDescent="0.25">
      <c r="G52" s="5"/>
      <c r="H52" s="635"/>
      <c r="I52" s="635"/>
      <c r="J52" s="172"/>
      <c r="K52" s="636"/>
      <c r="L52" s="5"/>
      <c r="M52" s="5"/>
      <c r="N52" s="5"/>
      <c r="O52" s="5"/>
    </row>
    <row r="53" spans="2:15" ht="17.100000000000001" customHeight="1" x14ac:dyDescent="0.25">
      <c r="G53" s="5"/>
      <c r="H53" s="635"/>
      <c r="I53" s="635"/>
      <c r="J53" s="172"/>
      <c r="K53" s="636"/>
      <c r="L53" s="5"/>
      <c r="M53" s="5"/>
      <c r="N53" s="5"/>
      <c r="O53" s="5"/>
    </row>
    <row r="54" spans="2:15" ht="17.100000000000001" customHeight="1" x14ac:dyDescent="0.25">
      <c r="G54" s="5"/>
      <c r="H54" s="635"/>
      <c r="I54" s="635"/>
      <c r="J54" s="172"/>
      <c r="K54" s="636"/>
      <c r="L54" s="5"/>
    </row>
    <row r="55" spans="2:15" ht="17.100000000000001" customHeight="1" x14ac:dyDescent="0.25">
      <c r="G55" s="5"/>
      <c r="H55" s="635"/>
      <c r="I55" s="635"/>
      <c r="J55" s="172"/>
      <c r="K55" s="636"/>
      <c r="L55" s="5"/>
    </row>
    <row r="56" spans="2:15" ht="17.100000000000001" customHeight="1" x14ac:dyDescent="0.25">
      <c r="G56" s="5"/>
      <c r="H56" s="172"/>
      <c r="I56" s="172"/>
      <c r="J56" s="172"/>
      <c r="K56" s="636"/>
      <c r="L56" s="5"/>
    </row>
    <row r="57" spans="2:15" ht="17.100000000000001" customHeight="1" x14ac:dyDescent="0.25">
      <c r="G57" s="5"/>
      <c r="H57" s="5"/>
      <c r="I57" s="5"/>
      <c r="J57" s="5"/>
      <c r="K57" s="574"/>
      <c r="L57" s="5"/>
    </row>
    <row r="58" spans="2:15" ht="17.100000000000001" customHeight="1" x14ac:dyDescent="0.25">
      <c r="G58" s="5"/>
      <c r="H58" s="5"/>
      <c r="I58" s="5"/>
      <c r="J58" s="5"/>
      <c r="K58" s="574"/>
      <c r="L58" s="5"/>
    </row>
    <row r="59" spans="2:15" x14ac:dyDescent="0.25">
      <c r="B59" s="5"/>
      <c r="C59" s="5"/>
      <c r="D59" s="5"/>
      <c r="E59" s="5"/>
      <c r="F59" s="5"/>
      <c r="G59" s="5"/>
      <c r="H59" s="5"/>
      <c r="I59" s="5"/>
      <c r="J59" s="5"/>
      <c r="K59" s="574"/>
      <c r="L59" s="5"/>
    </row>
    <row r="60" spans="2:15" ht="15.75" customHeight="1" x14ac:dyDescent="0.25">
      <c r="B60" s="722"/>
      <c r="C60" s="722"/>
      <c r="D60" s="722"/>
      <c r="E60" s="722"/>
      <c r="F60" s="722"/>
      <c r="G60" s="722"/>
      <c r="H60" s="722"/>
      <c r="I60" s="722"/>
      <c r="J60" s="722"/>
      <c r="K60" s="722"/>
      <c r="L60" s="722"/>
    </row>
    <row r="80" spans="7:9" ht="13.5" customHeight="1" x14ac:dyDescent="0.25">
      <c r="G80" s="102"/>
      <c r="H80" s="309"/>
      <c r="I80" s="310"/>
    </row>
  </sheetData>
  <sheetProtection algorithmName="SHA-512" hashValue="Nw7zKILEsbgp/eOcG2A8eHsiCYSErkdRNa+0ix0oli0JO79FNENMASh7fYo2OX9G+yEH6edCeBzooYIYaFgYkQ==" saltValue="q7endc6iciEKzQhqUvv/vQ==" spinCount="100000" sheet="1" formatCells="0" formatColumns="0" formatRows="0"/>
  <mergeCells count="101">
    <mergeCell ref="B24:C24"/>
    <mergeCell ref="D23:E23"/>
    <mergeCell ref="D24:E24"/>
    <mergeCell ref="D25:E25"/>
    <mergeCell ref="D26:E26"/>
    <mergeCell ref="D27:E27"/>
    <mergeCell ref="B50:C50"/>
    <mergeCell ref="O17:P17"/>
    <mergeCell ref="K22:K23"/>
    <mergeCell ref="B28:C28"/>
    <mergeCell ref="B25:C25"/>
    <mergeCell ref="J22:J23"/>
    <mergeCell ref="M17:N17"/>
    <mergeCell ref="B1:K1"/>
    <mergeCell ref="B45:C45"/>
    <mergeCell ref="J25:K25"/>
    <mergeCell ref="J34:K34"/>
    <mergeCell ref="J35:K35"/>
    <mergeCell ref="J5:K6"/>
    <mergeCell ref="J7:K8"/>
    <mergeCell ref="J9:K10"/>
    <mergeCell ref="H36:L42"/>
    <mergeCell ref="H35:I35"/>
    <mergeCell ref="H26:I26"/>
    <mergeCell ref="B33:C33"/>
    <mergeCell ref="D19:E21"/>
    <mergeCell ref="H5:H6"/>
    <mergeCell ref="H19:I19"/>
    <mergeCell ref="I5:I6"/>
    <mergeCell ref="B9:C9"/>
    <mergeCell ref="B22:C22"/>
    <mergeCell ref="H9:H10"/>
    <mergeCell ref="I9:I10"/>
    <mergeCell ref="C5:F5"/>
    <mergeCell ref="C7:F7"/>
    <mergeCell ref="F19:F21"/>
    <mergeCell ref="B8:F8"/>
    <mergeCell ref="B13:F13"/>
    <mergeCell ref="H18:I18"/>
    <mergeCell ref="B3:J3"/>
    <mergeCell ref="B4:F4"/>
    <mergeCell ref="H4:J4"/>
    <mergeCell ref="H7:H8"/>
    <mergeCell ref="I7:I8"/>
    <mergeCell ref="B10:C10"/>
    <mergeCell ref="B11:C11"/>
    <mergeCell ref="B12:C12"/>
    <mergeCell ref="B14:C14"/>
    <mergeCell ref="B15:C15"/>
    <mergeCell ref="B16:C16"/>
    <mergeCell ref="B17:C17"/>
    <mergeCell ref="D16:F16"/>
    <mergeCell ref="D17:F17"/>
    <mergeCell ref="B60:L60"/>
    <mergeCell ref="D31:D32"/>
    <mergeCell ref="E31:E32"/>
    <mergeCell ref="F31:F32"/>
    <mergeCell ref="H13:I13"/>
    <mergeCell ref="H14:I14"/>
    <mergeCell ref="H15:I15"/>
    <mergeCell ref="H17:I17"/>
    <mergeCell ref="H20:I20"/>
    <mergeCell ref="H21:I21"/>
    <mergeCell ref="H24:I24"/>
    <mergeCell ref="B18:F18"/>
    <mergeCell ref="H33:I33"/>
    <mergeCell ref="H27:I27"/>
    <mergeCell ref="H28:I28"/>
    <mergeCell ref="H34:I34"/>
    <mergeCell ref="H32:I32"/>
    <mergeCell ref="B48:C48"/>
    <mergeCell ref="B49:C49"/>
    <mergeCell ref="H22:I23"/>
    <mergeCell ref="B51:C51"/>
    <mergeCell ref="B46:C46"/>
    <mergeCell ref="B47:C47"/>
    <mergeCell ref="B23:C23"/>
    <mergeCell ref="B2:K2"/>
    <mergeCell ref="E6:F6"/>
    <mergeCell ref="B35:E35"/>
    <mergeCell ref="B34:E34"/>
    <mergeCell ref="D28:E28"/>
    <mergeCell ref="D9:F9"/>
    <mergeCell ref="D10:F10"/>
    <mergeCell ref="D11:F11"/>
    <mergeCell ref="D12:F12"/>
    <mergeCell ref="D14:F14"/>
    <mergeCell ref="D15:F15"/>
    <mergeCell ref="B30:C30"/>
    <mergeCell ref="B31:C32"/>
    <mergeCell ref="B26:C26"/>
    <mergeCell ref="B27:C27"/>
    <mergeCell ref="H25:I25"/>
    <mergeCell ref="H29:I29"/>
    <mergeCell ref="H30:I30"/>
    <mergeCell ref="H31:I31"/>
    <mergeCell ref="B29:F29"/>
    <mergeCell ref="H16:I16"/>
    <mergeCell ref="H12:K12"/>
    <mergeCell ref="B19:C21"/>
    <mergeCell ref="D22:E22"/>
  </mergeCells>
  <phoneticPr fontId="73" type="noConversion"/>
  <conditionalFormatting sqref="F28">
    <cfRule type="cellIs" dxfId="111" priority="42" operator="lessThan">
      <formula>0.3</formula>
    </cfRule>
  </conditionalFormatting>
  <conditionalFormatting sqref="J25 L25">
    <cfRule type="beginsWith" dxfId="110" priority="10" operator="beginsWith" text="splněno">
      <formula>LEFT(J25,LEN("splněno"))="splněno"</formula>
    </cfRule>
    <cfRule type="beginsWith" dxfId="109" priority="11" operator="beginsWith" text="částečně">
      <formula>LEFT(J25,LEN("částečně"))="částečně"</formula>
    </cfRule>
    <cfRule type="containsText" dxfId="108" priority="12" operator="containsText" text="nesplněno">
      <formula>NOT(ISERROR(SEARCH("nesplněno",J25)))</formula>
    </cfRule>
  </conditionalFormatting>
  <conditionalFormatting sqref="J34">
    <cfRule type="containsText" dxfId="107" priority="6" operator="containsText" text="nesplněno">
      <formula>NOT(ISERROR(SEARCH("nesplněno",J34)))</formula>
    </cfRule>
  </conditionalFormatting>
  <conditionalFormatting sqref="J34:J43">
    <cfRule type="beginsWith" dxfId="106" priority="4" operator="beginsWith" text="splněno">
      <formula>LEFT(J34,LEN("splněno"))="splněno"</formula>
    </cfRule>
  </conditionalFormatting>
  <conditionalFormatting sqref="J35:J43">
    <cfRule type="beginsWith" dxfId="105" priority="8" operator="beginsWith" text="částečně">
      <formula>LEFT(J35,LEN("částečně"))="částečně"</formula>
    </cfRule>
    <cfRule type="containsText" dxfId="104" priority="9" operator="containsText" text="nesplněno">
      <formula>NOT(ISERROR(SEARCH("nesplněno",J35)))</formula>
    </cfRule>
  </conditionalFormatting>
  <conditionalFormatting sqref="J35:K43">
    <cfRule type="containsText" dxfId="103" priority="1" operator="containsText" text="50% dotace">
      <formula>NOT(ISERROR(SEARCH("50% dotace",J35)))</formula>
    </cfRule>
    <cfRule type="containsText" dxfId="102" priority="2" operator="containsText" text="plná dotace">
      <formula>NOT(ISERROR(SEARCH("plná dotace",J35)))</formula>
    </cfRule>
    <cfRule type="containsText" dxfId="101" priority="3" operator="containsText" text="bez dotace">
      <formula>NOT(ISERROR(SEARCH("bez dotace",J35)))</formula>
    </cfRule>
  </conditionalFormatting>
  <conditionalFormatting sqref="O17 L20 L22 L24">
    <cfRule type="containsText" dxfId="100" priority="14" operator="containsText" text="ano">
      <formula>NOT(ISERROR(SEARCH("ano",L17)))</formula>
    </cfRule>
    <cfRule type="containsText" dxfId="99" priority="15" operator="containsText" text="ne">
      <formula>NOT(ISERROR(SEARCH("ne",L17)))</formula>
    </cfRule>
  </conditionalFormatting>
  <pageMargins left="0.31496062992125984" right="0.31496062992125984" top="0.59055118110236227" bottom="0.59055118110236227" header="0.31496062992125984" footer="0.31496062992125984"/>
  <pageSetup paperSize="9" scale="80" orientation="landscape" horizontalDpi="4294967293" r:id="rId1"/>
  <ignoredErrors>
    <ignoredError sqref="E31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15</vt:i4>
      </vt:variant>
      <vt:variant>
        <vt:lpstr>Pojmenované oblasti</vt:lpstr>
      </vt:variant>
      <vt:variant>
        <vt:i4>7</vt:i4>
      </vt:variant>
    </vt:vector>
  </HeadingPairs>
  <TitlesOfParts>
    <vt:vector size="22" baseType="lpstr">
      <vt:lpstr>P24</vt:lpstr>
      <vt:lpstr>P25</vt:lpstr>
      <vt:lpstr>P26</vt:lpstr>
      <vt:lpstr>Z25</vt:lpstr>
      <vt:lpstr>Z26</vt:lpstr>
      <vt:lpstr>M24-26</vt:lpstr>
      <vt:lpstr>M24-26ev</vt:lpstr>
      <vt:lpstr>O24-26</vt:lpstr>
      <vt:lpstr>NP25</vt:lpstr>
      <vt:lpstr>NP26</vt:lpstr>
      <vt:lpstr>OH25</vt:lpstr>
      <vt:lpstr>OH26</vt:lpstr>
      <vt:lpstr>PT24-26</vt:lpstr>
      <vt:lpstr>OH25t</vt:lpstr>
      <vt:lpstr>OH26t</vt:lpstr>
      <vt:lpstr>'NP25'!Oblast_tisku</vt:lpstr>
      <vt:lpstr>'NP26'!Oblast_tisku</vt:lpstr>
      <vt:lpstr>'OH25'!Oblast_tisku</vt:lpstr>
      <vt:lpstr>OH25t!Oblast_tisku</vt:lpstr>
      <vt:lpstr>'OH26'!Oblast_tisku</vt:lpstr>
      <vt:lpstr>OH26t!Oblast_tisku</vt:lpstr>
      <vt:lpstr>'PT24-26'!Oblast_tisku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Klír Jan</cp:lastModifiedBy>
  <cp:lastPrinted>2025-09-18T13:29:45Z</cp:lastPrinted>
  <dcterms:created xsi:type="dcterms:W3CDTF">2017-06-20T21:10:44Z</dcterms:created>
  <dcterms:modified xsi:type="dcterms:W3CDTF">2025-09-19T05:33:08Z</dcterms:modified>
</cp:coreProperties>
</file>